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"/>
    </mc:Choice>
  </mc:AlternateContent>
  <bookViews>
    <workbookView xWindow="-120" yWindow="-120" windowWidth="19320" windowHeight="11160" activeTab="2"/>
  </bookViews>
  <sheets>
    <sheet name="Critical Design Value" sheetId="1" r:id="rId1"/>
    <sheet name="Mobile Analysis" sheetId="2" r:id="rId2"/>
    <sheet name="2017NEIV2" sheetId="6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7" i="6" l="1"/>
  <c r="U16" i="6"/>
  <c r="T17" i="6"/>
  <c r="T16" i="6"/>
  <c r="S17" i="6"/>
  <c r="S16" i="6"/>
  <c r="R17" i="6"/>
  <c r="R16" i="6"/>
  <c r="Q17" i="6"/>
  <c r="Q16" i="6"/>
  <c r="E16" i="1" l="1"/>
  <c r="U14" i="6" l="1"/>
  <c r="T14" i="6"/>
  <c r="S14" i="6"/>
  <c r="R14" i="6"/>
  <c r="Q14" i="6"/>
  <c r="O18" i="6"/>
  <c r="U18" i="6" s="1"/>
  <c r="N18" i="6"/>
  <c r="T18" i="6" s="1"/>
  <c r="M18" i="6"/>
  <c r="S18" i="6" s="1"/>
  <c r="L18" i="6"/>
  <c r="R18" i="6" s="1"/>
  <c r="K18" i="6"/>
  <c r="Q18" i="6" s="1"/>
  <c r="O15" i="6"/>
  <c r="U15" i="6" s="1"/>
  <c r="N15" i="6"/>
  <c r="T15" i="6" s="1"/>
  <c r="M15" i="6"/>
  <c r="S15" i="6" s="1"/>
  <c r="L15" i="6"/>
  <c r="R15" i="6" s="1"/>
  <c r="K15" i="6"/>
  <c r="Q15" i="6" s="1"/>
  <c r="O14" i="6"/>
  <c r="N14" i="6"/>
  <c r="M14" i="6"/>
  <c r="L14" i="6"/>
  <c r="K14" i="6"/>
  <c r="O13" i="6"/>
  <c r="N13" i="6"/>
  <c r="M13" i="6"/>
  <c r="L13" i="6"/>
  <c r="K13" i="6"/>
  <c r="O10" i="6"/>
  <c r="N10" i="6"/>
  <c r="M10" i="6"/>
  <c r="L10" i="6"/>
  <c r="K10" i="6"/>
  <c r="O9" i="6"/>
  <c r="N9" i="6"/>
  <c r="M9" i="6"/>
  <c r="L9" i="6"/>
  <c r="K9" i="6"/>
  <c r="O8" i="6"/>
  <c r="N8" i="6"/>
  <c r="M8" i="6"/>
  <c r="L8" i="6"/>
  <c r="K8" i="6"/>
  <c r="O5" i="6"/>
  <c r="N5" i="6"/>
  <c r="M5" i="6"/>
  <c r="L5" i="6"/>
  <c r="K5" i="6"/>
  <c r="O4" i="6"/>
  <c r="N4" i="6"/>
  <c r="M4" i="6"/>
  <c r="L4" i="6"/>
  <c r="K4" i="6"/>
  <c r="N19" i="6" l="1"/>
  <c r="K12" i="2" s="1"/>
  <c r="K22" i="6"/>
  <c r="H15" i="2" s="1"/>
  <c r="O22" i="6"/>
  <c r="L15" i="2" s="1"/>
  <c r="M20" i="6"/>
  <c r="J13" i="2" s="1"/>
  <c r="N20" i="6"/>
  <c r="K13" i="2" s="1"/>
  <c r="L22" i="6"/>
  <c r="I15" i="2" s="1"/>
  <c r="M19" i="6"/>
  <c r="J12" i="2" s="1"/>
  <c r="N22" i="6"/>
  <c r="K15" i="2" s="1"/>
  <c r="M23" i="6"/>
  <c r="J16" i="2" s="1"/>
  <c r="L21" i="6"/>
  <c r="I14" i="2" s="1"/>
  <c r="L23" i="6"/>
  <c r="I16" i="2" s="1"/>
  <c r="N23" i="6"/>
  <c r="K16" i="2" s="1"/>
  <c r="K23" i="6"/>
  <c r="H16" i="2" s="1"/>
  <c r="O23" i="6"/>
  <c r="L16" i="2" s="1"/>
  <c r="K21" i="6"/>
  <c r="H14" i="2" s="1"/>
  <c r="K20" i="6"/>
  <c r="H13" i="2" s="1"/>
  <c r="O20" i="6"/>
  <c r="L13" i="2" s="1"/>
  <c r="M22" i="6"/>
  <c r="K19" i="6"/>
  <c r="H12" i="2" s="1"/>
  <c r="O19" i="6"/>
  <c r="L12" i="2" s="1"/>
  <c r="M21" i="6"/>
  <c r="J14" i="2" s="1"/>
  <c r="L19" i="6"/>
  <c r="I12" i="2" s="1"/>
  <c r="N21" i="6"/>
  <c r="K14" i="2" s="1"/>
  <c r="L20" i="6"/>
  <c r="I13" i="2" s="1"/>
  <c r="H5" i="2"/>
  <c r="M12" i="2" l="1"/>
  <c r="K17" i="2"/>
  <c r="K18" i="2" s="1"/>
  <c r="O12" i="2"/>
  <c r="N12" i="2"/>
  <c r="J15" i="2"/>
  <c r="J17" i="2" s="1"/>
  <c r="J18" i="2" s="1"/>
  <c r="O13" i="2"/>
  <c r="N13" i="2"/>
  <c r="M13" i="2"/>
  <c r="I17" i="2"/>
  <c r="I18" i="2" s="1"/>
  <c r="O16" i="2"/>
  <c r="N16" i="2"/>
  <c r="M16" i="2"/>
  <c r="O15" i="2"/>
  <c r="O14" i="2"/>
  <c r="N14" i="2"/>
  <c r="H17" i="2"/>
  <c r="H18" i="2" s="1"/>
  <c r="O21" i="6"/>
  <c r="L14" i="2" s="1"/>
  <c r="L17" i="2" l="1"/>
  <c r="L18" i="2" s="1"/>
  <c r="M15" i="2"/>
  <c r="N15" i="2"/>
  <c r="N17" i="2" s="1"/>
  <c r="N18" i="2" s="1"/>
  <c r="O17" i="2"/>
  <c r="O18" i="2" s="1"/>
  <c r="M14" i="2"/>
  <c r="M17" i="2" l="1"/>
  <c r="M18" i="2" s="1"/>
  <c r="E17" i="1"/>
  <c r="I30" i="2" l="1"/>
  <c r="I31" i="2" s="1"/>
  <c r="I32" i="2" s="1"/>
  <c r="J30" i="2"/>
  <c r="H30" i="2"/>
  <c r="E18" i="1"/>
  <c r="E19" i="1" s="1"/>
  <c r="E20" i="1" s="1"/>
  <c r="J31" i="2" l="1"/>
  <c r="J32" i="2" s="1"/>
  <c r="H31" i="2"/>
  <c r="H32" i="2" s="1"/>
</calcChain>
</file>

<file path=xl/sharedStrings.xml><?xml version="1.0" encoding="utf-8"?>
<sst xmlns="http://schemas.openxmlformats.org/spreadsheetml/2006/main" count="169" uniqueCount="106">
  <si>
    <t>Years</t>
  </si>
  <si>
    <t>Point</t>
  </si>
  <si>
    <t>Nonroad</t>
  </si>
  <si>
    <t>Total</t>
  </si>
  <si>
    <t>Qualify for LMP?</t>
  </si>
  <si>
    <t>PM2.5</t>
  </si>
  <si>
    <t>SO2</t>
  </si>
  <si>
    <t>NOx</t>
  </si>
  <si>
    <t>VOC</t>
  </si>
  <si>
    <t>NH3</t>
  </si>
  <si>
    <t>Event</t>
  </si>
  <si>
    <t>Annual</t>
  </si>
  <si>
    <t>24-Hour</t>
  </si>
  <si>
    <t>Jefferson County</t>
  </si>
  <si>
    <t>Nonpoint</t>
  </si>
  <si>
    <t>Onroad</t>
  </si>
  <si>
    <t>Shelby County</t>
  </si>
  <si>
    <t>Walker Partial County</t>
  </si>
  <si>
    <t>Walker County</t>
  </si>
  <si>
    <t>Whole</t>
  </si>
  <si>
    <t>Walker Partial County Support</t>
  </si>
  <si>
    <t>Point Source</t>
  </si>
  <si>
    <t>Scaled by population of partial county relative to whole county; 15%</t>
  </si>
  <si>
    <t>Daily</t>
  </si>
  <si>
    <t>Birmingham Area</t>
  </si>
  <si>
    <t>Mobile Analysis - Birmingham Area (Jefferson, Shelby, Walker (p))</t>
  </si>
  <si>
    <t>% Onroad</t>
  </si>
  <si>
    <t>CV</t>
  </si>
  <si>
    <t>σ</t>
  </si>
  <si>
    <r>
      <t>CDV = N/(1+t</t>
    </r>
    <r>
      <rPr>
        <vertAlign val="subscript"/>
        <sz val="11"/>
        <color theme="1"/>
        <rFont val="Cambria"/>
        <family val="1"/>
      </rPr>
      <t>c</t>
    </r>
    <r>
      <rPr>
        <sz val="11"/>
        <color theme="1"/>
        <rFont val="Cambria"/>
        <family val="1"/>
      </rPr>
      <t>*CV)</t>
    </r>
  </si>
  <si>
    <r>
      <t>Design Value (µg/m</t>
    </r>
    <r>
      <rPr>
        <vertAlign val="superscript"/>
        <sz val="11"/>
        <color theme="1"/>
        <rFont val="Cambria"/>
        <family val="1"/>
      </rPr>
      <t>3</t>
    </r>
    <r>
      <rPr>
        <sz val="11"/>
        <color theme="1"/>
        <rFont val="Cambria"/>
        <family val="1"/>
      </rPr>
      <t>)</t>
    </r>
  </si>
  <si>
    <r>
      <t>t</t>
    </r>
    <r>
      <rPr>
        <vertAlign val="subscript"/>
        <sz val="11"/>
        <color theme="1"/>
        <rFont val="Cambria"/>
        <family val="1"/>
      </rPr>
      <t>c</t>
    </r>
  </si>
  <si>
    <t>Critical Design Value Analysis - Birmingham Area (Jefferson, Shelby, Walker (p))</t>
  </si>
  <si>
    <t>Equation 1. Critical Design Value (CDV)</t>
  </si>
  <si>
    <t>Equation 2. Coefficient of Variation (CV)</t>
  </si>
  <si>
    <r>
      <t>VMT</t>
    </r>
    <r>
      <rPr>
        <vertAlign val="subscript"/>
        <sz val="11"/>
        <color theme="1"/>
        <rFont val="Cambria"/>
        <family val="1"/>
      </rPr>
      <t>pi,1</t>
    </r>
  </si>
  <si>
    <r>
      <t>PM</t>
    </r>
    <r>
      <rPr>
        <b/>
        <vertAlign val="subscript"/>
        <sz val="11"/>
        <color theme="1"/>
        <rFont val="Cambria"/>
        <family val="1"/>
      </rPr>
      <t>2.5</t>
    </r>
  </si>
  <si>
    <r>
      <t>SO</t>
    </r>
    <r>
      <rPr>
        <b/>
        <vertAlign val="subscript"/>
        <sz val="11"/>
        <color theme="1"/>
        <rFont val="Cambria"/>
        <family val="1"/>
      </rPr>
      <t>2</t>
    </r>
  </si>
  <si>
    <r>
      <t>PM</t>
    </r>
    <r>
      <rPr>
        <b/>
        <vertAlign val="subscript"/>
        <sz val="11"/>
        <color theme="1"/>
        <rFont val="Cambria"/>
        <family val="1"/>
      </rPr>
      <t>2.5</t>
    </r>
    <r>
      <rPr>
        <b/>
        <sz val="11"/>
        <color theme="1"/>
        <rFont val="Cambria"/>
        <family val="1"/>
      </rPr>
      <t xml:space="preserve"> + SO</t>
    </r>
    <r>
      <rPr>
        <b/>
        <vertAlign val="subscript"/>
        <sz val="11"/>
        <color theme="1"/>
        <rFont val="Cambria"/>
        <family val="1"/>
      </rPr>
      <t>2</t>
    </r>
    <r>
      <rPr>
        <b/>
        <sz val="11"/>
        <color theme="1"/>
        <rFont val="Cambria"/>
        <family val="1"/>
      </rPr>
      <t xml:space="preserve"> + NOx</t>
    </r>
    <r>
      <rPr>
        <b/>
        <vertAlign val="superscript"/>
        <sz val="11"/>
        <color theme="1"/>
        <rFont val="Cambria"/>
        <family val="1"/>
      </rPr>
      <t>†</t>
    </r>
  </si>
  <si>
    <r>
      <t>PM</t>
    </r>
    <r>
      <rPr>
        <b/>
        <vertAlign val="subscript"/>
        <sz val="11"/>
        <color theme="1"/>
        <rFont val="Cambria"/>
        <family val="1"/>
      </rPr>
      <t>2.5</t>
    </r>
    <r>
      <rPr>
        <b/>
        <sz val="11"/>
        <color theme="1"/>
        <rFont val="Cambria"/>
        <family val="1"/>
      </rPr>
      <t xml:space="preserve"> + SO</t>
    </r>
    <r>
      <rPr>
        <b/>
        <vertAlign val="subscript"/>
        <sz val="11"/>
        <color theme="1"/>
        <rFont val="Cambria"/>
        <family val="1"/>
      </rPr>
      <t>2</t>
    </r>
  </si>
  <si>
    <r>
      <t>NH</t>
    </r>
    <r>
      <rPr>
        <b/>
        <vertAlign val="subscript"/>
        <sz val="11"/>
        <color theme="1"/>
        <rFont val="Cambria"/>
        <family val="1"/>
      </rPr>
      <t>3</t>
    </r>
  </si>
  <si>
    <r>
      <t>DV</t>
    </r>
    <r>
      <rPr>
        <vertAlign val="subscript"/>
        <sz val="11"/>
        <color theme="1"/>
        <rFont val="Cambria"/>
        <family val="1"/>
      </rPr>
      <t>mv</t>
    </r>
    <r>
      <rPr>
        <sz val="11"/>
        <color theme="1"/>
        <rFont val="Cambria"/>
        <family val="1"/>
      </rPr>
      <t xml:space="preserve"> = O*DV</t>
    </r>
  </si>
  <si>
    <t>Equation 4. Mobile Design Value</t>
  </si>
  <si>
    <r>
      <rPr>
        <vertAlign val="superscript"/>
        <sz val="11"/>
        <color theme="1"/>
        <rFont val="Cambria"/>
        <family val="1"/>
      </rPr>
      <t xml:space="preserve">* </t>
    </r>
    <r>
      <rPr>
        <sz val="11"/>
        <color theme="1"/>
        <rFont val="Cambria"/>
        <family val="1"/>
      </rPr>
      <t>The State will have updated information, likely from the 2017 NEI, targeted for April 2020 release.</t>
    </r>
  </si>
  <si>
    <r>
      <rPr>
        <vertAlign val="superscript"/>
        <sz val="11"/>
        <color theme="1"/>
        <rFont val="Cambria"/>
        <family val="1"/>
      </rPr>
      <t xml:space="preserve">† </t>
    </r>
    <r>
      <rPr>
        <sz val="11"/>
        <color theme="1"/>
        <rFont val="Cambria"/>
        <family val="1"/>
      </rPr>
      <t>The original maintenance plan only considered direct PM</t>
    </r>
    <r>
      <rPr>
        <vertAlign val="subscript"/>
        <sz val="11"/>
        <color theme="1"/>
        <rFont val="Cambria"/>
        <family val="1"/>
      </rPr>
      <t>2.5</t>
    </r>
    <r>
      <rPr>
        <sz val="11"/>
        <color theme="1"/>
        <rFont val="Cambria"/>
        <family val="1"/>
      </rPr>
      <t>, SO</t>
    </r>
    <r>
      <rPr>
        <vertAlign val="subscript"/>
        <sz val="11"/>
        <color theme="1"/>
        <rFont val="Cambria"/>
        <family val="1"/>
      </rPr>
      <t>2</t>
    </r>
    <r>
      <rPr>
        <sz val="11"/>
        <color theme="1"/>
        <rFont val="Cambria"/>
        <family val="1"/>
      </rPr>
      <t>, and NOx, consistent with federal regulations at the time.</t>
    </r>
  </si>
  <si>
    <t>Emissions by Pollutant (tpd)</t>
  </si>
  <si>
    <t>Where O is the ratio of onroad emissions to total emissions</t>
  </si>
  <si>
    <r>
      <t>Table 2. 24-Hour PM</t>
    </r>
    <r>
      <rPr>
        <b/>
        <vertAlign val="subscript"/>
        <sz val="11"/>
        <color theme="1"/>
        <rFont val="Cambria"/>
        <family val="1"/>
      </rPr>
      <t>2.5</t>
    </r>
    <r>
      <rPr>
        <b/>
        <sz val="11"/>
        <color theme="1"/>
        <rFont val="Cambria"/>
        <family val="1"/>
      </rPr>
      <t xml:space="preserve"> Design Values</t>
    </r>
  </si>
  <si>
    <t>Table 3. Critical Design Value Calculation</t>
  </si>
  <si>
    <t>Table 4. Constants for Mobile Analysis</t>
  </si>
  <si>
    <t>Description</t>
  </si>
  <si>
    <t>Scenarios</t>
  </si>
  <si>
    <t>S1</t>
  </si>
  <si>
    <t>S2</t>
  </si>
  <si>
    <t>S3</t>
  </si>
  <si>
    <t>Table 6. Scenarios for Evaluation</t>
  </si>
  <si>
    <t>Table 7. Margin of Safety Calculation</t>
  </si>
  <si>
    <t>Equation 3. Margin of Safety (MOS)</t>
  </si>
  <si>
    <r>
      <t>From PM</t>
    </r>
    <r>
      <rPr>
        <vertAlign val="subscript"/>
        <sz val="11"/>
        <color theme="1"/>
        <rFont val="Cambria"/>
        <family val="1"/>
      </rPr>
      <t>10</t>
    </r>
    <r>
      <rPr>
        <sz val="11"/>
        <color theme="1"/>
        <rFont val="Cambria"/>
        <family val="1"/>
      </rPr>
      <t xml:space="preserve"> NAAQS MOS</t>
    </r>
  </si>
  <si>
    <t>Where M is the future projected DV based on projected mobile source growth</t>
  </si>
  <si>
    <r>
      <t>DV</t>
    </r>
    <r>
      <rPr>
        <vertAlign val="subscript"/>
        <sz val="11"/>
        <color theme="1"/>
        <rFont val="Cambria"/>
        <family val="1"/>
      </rPr>
      <t>mv</t>
    </r>
    <r>
      <rPr>
        <sz val="11"/>
        <color theme="1"/>
        <rFont val="Cambria"/>
        <family val="1"/>
      </rPr>
      <t xml:space="preserve"> is the mobile contribution to the average design value</t>
    </r>
  </si>
  <si>
    <t>Variable</t>
  </si>
  <si>
    <t>Assumption</t>
  </si>
  <si>
    <t>Value</t>
  </si>
  <si>
    <t>σ is the standard deviation</t>
  </si>
  <si>
    <r>
      <t>N (</t>
    </r>
    <r>
      <rPr>
        <sz val="11"/>
        <color theme="1"/>
        <rFont val="Calibri"/>
        <family val="2"/>
      </rPr>
      <t>µ</t>
    </r>
    <r>
      <rPr>
        <sz val="11"/>
        <color theme="1"/>
        <rFont val="Cambria"/>
        <family val="1"/>
      </rPr>
      <t>g/m</t>
    </r>
    <r>
      <rPr>
        <vertAlign val="superscript"/>
        <sz val="11"/>
        <color theme="1"/>
        <rFont val="Cambria"/>
        <family val="1"/>
      </rPr>
      <t>3</t>
    </r>
    <r>
      <rPr>
        <sz val="11"/>
        <color theme="1"/>
        <rFont val="Cambria"/>
        <family val="1"/>
      </rPr>
      <t>)</t>
    </r>
  </si>
  <si>
    <r>
      <t>t</t>
    </r>
    <r>
      <rPr>
        <vertAlign val="subscript"/>
        <sz val="11"/>
        <color theme="1"/>
        <rFont val="Cambria"/>
        <family val="1"/>
      </rPr>
      <t>c</t>
    </r>
    <r>
      <rPr>
        <sz val="11"/>
        <color theme="1"/>
        <rFont val="Cambria"/>
        <family val="1"/>
      </rPr>
      <t xml:space="preserve"> is the t value for 10% probability to exceed the NAAQS</t>
    </r>
  </si>
  <si>
    <t>CV is the coefficient of variation (Equation 2)</t>
  </si>
  <si>
    <t>Where N is the 2006 24-hour NAAQS</t>
  </si>
  <si>
    <t>Table 1. Constants for CDV Analysis</t>
  </si>
  <si>
    <r>
      <t>M = DV + (VMT</t>
    </r>
    <r>
      <rPr>
        <vertAlign val="subscript"/>
        <sz val="11"/>
        <color theme="1"/>
        <rFont val="Cambria"/>
        <family val="1"/>
      </rPr>
      <t>pi</t>
    </r>
    <r>
      <rPr>
        <sz val="11"/>
        <color theme="1"/>
        <rFont val="Cambria"/>
        <family val="1"/>
      </rPr>
      <t xml:space="preserve"> * DV</t>
    </r>
    <r>
      <rPr>
        <vertAlign val="subscript"/>
        <sz val="11"/>
        <color theme="1"/>
        <rFont val="Cambria"/>
        <family val="1"/>
      </rPr>
      <t>mv</t>
    </r>
    <r>
      <rPr>
        <sz val="11"/>
        <color theme="1"/>
        <rFont val="Cambria"/>
        <family val="1"/>
      </rPr>
      <t>), compare to MOS</t>
    </r>
  </si>
  <si>
    <r>
      <t>All</t>
    </r>
    <r>
      <rPr>
        <b/>
        <vertAlign val="superscript"/>
        <sz val="11"/>
        <color theme="1"/>
        <rFont val="Cambria"/>
        <family val="1"/>
      </rPr>
      <t>*</t>
    </r>
  </si>
  <si>
    <r>
      <t>Calculated Emissions for DV</t>
    </r>
    <r>
      <rPr>
        <b/>
        <vertAlign val="subscript"/>
        <sz val="11"/>
        <color theme="1"/>
        <rFont val="Cambria"/>
        <family val="1"/>
      </rPr>
      <t>mv</t>
    </r>
    <r>
      <rPr>
        <b/>
        <sz val="11"/>
        <color theme="1"/>
        <rFont val="Cambria"/>
        <family val="1"/>
      </rPr>
      <t xml:space="preserve"> (tpd)</t>
    </r>
  </si>
  <si>
    <r>
      <t>DV (</t>
    </r>
    <r>
      <rPr>
        <sz val="11"/>
        <color theme="1"/>
        <rFont val="Calibri"/>
        <family val="2"/>
      </rPr>
      <t>µ</t>
    </r>
    <r>
      <rPr>
        <sz val="11"/>
        <color theme="1"/>
        <rFont val="Cambria"/>
        <family val="1"/>
      </rPr>
      <t>g/m</t>
    </r>
    <r>
      <rPr>
        <vertAlign val="superscript"/>
        <sz val="11"/>
        <color theme="1"/>
        <rFont val="Cambria"/>
        <family val="1"/>
      </rPr>
      <t>3</t>
    </r>
    <r>
      <rPr>
        <sz val="11"/>
        <color theme="1"/>
        <rFont val="Cambria"/>
        <family val="1"/>
      </rPr>
      <t>)</t>
    </r>
  </si>
  <si>
    <r>
      <t>DV</t>
    </r>
    <r>
      <rPr>
        <vertAlign val="subscript"/>
        <sz val="11"/>
        <color theme="1"/>
        <rFont val="Cambria"/>
        <family val="1"/>
      </rPr>
      <t>mv</t>
    </r>
    <r>
      <rPr>
        <sz val="11"/>
        <color theme="1"/>
        <rFont val="Cambria"/>
        <family val="1"/>
      </rPr>
      <t xml:space="preserve"> (</t>
    </r>
    <r>
      <rPr>
        <sz val="11"/>
        <color theme="1"/>
        <rFont val="Calibri"/>
        <family val="2"/>
      </rPr>
      <t>µ</t>
    </r>
    <r>
      <rPr>
        <sz val="11"/>
        <color theme="1"/>
        <rFont val="Cambria"/>
        <family val="1"/>
      </rPr>
      <t>g/m</t>
    </r>
    <r>
      <rPr>
        <vertAlign val="superscript"/>
        <sz val="11"/>
        <color theme="1"/>
        <rFont val="Cambria"/>
        <family val="1"/>
      </rPr>
      <t>3</t>
    </r>
    <r>
      <rPr>
        <sz val="11"/>
        <color theme="1"/>
        <rFont val="Cambria"/>
        <family val="1"/>
      </rPr>
      <t>)</t>
    </r>
  </si>
  <si>
    <r>
      <t>M (</t>
    </r>
    <r>
      <rPr>
        <sz val="11"/>
        <color theme="1"/>
        <rFont val="Calibri"/>
        <family val="2"/>
      </rPr>
      <t>µ</t>
    </r>
    <r>
      <rPr>
        <sz val="11"/>
        <color theme="1"/>
        <rFont val="Cambria"/>
        <family val="1"/>
      </rPr>
      <t>g/m</t>
    </r>
    <r>
      <rPr>
        <vertAlign val="superscript"/>
        <sz val="11"/>
        <color theme="1"/>
        <rFont val="Cambria"/>
        <family val="1"/>
      </rPr>
      <t>3</t>
    </r>
    <r>
      <rPr>
        <sz val="11"/>
        <color theme="1"/>
        <rFont val="Cambria"/>
        <family val="1"/>
      </rPr>
      <t>)</t>
    </r>
  </si>
  <si>
    <r>
      <t>DV</t>
    </r>
    <r>
      <rPr>
        <vertAlign val="subscript"/>
        <sz val="11"/>
        <color theme="1"/>
        <rFont val="Cambria"/>
        <family val="1"/>
      </rPr>
      <t>mv</t>
    </r>
    <r>
      <rPr>
        <sz val="11"/>
        <color theme="1"/>
        <rFont val="Cambria"/>
        <family val="1"/>
      </rPr>
      <t xml:space="preserve"> is the mobile design value (Equation 4)</t>
    </r>
  </si>
  <si>
    <r>
      <t>MOS (</t>
    </r>
    <r>
      <rPr>
        <sz val="11"/>
        <color theme="1"/>
        <rFont val="Calibri"/>
        <family val="2"/>
      </rPr>
      <t>µ</t>
    </r>
    <r>
      <rPr>
        <sz val="11"/>
        <color theme="1"/>
        <rFont val="Cambria"/>
        <family val="1"/>
      </rPr>
      <t>g/m</t>
    </r>
    <r>
      <rPr>
        <vertAlign val="superscript"/>
        <sz val="11"/>
        <color theme="1"/>
        <rFont val="Cambria"/>
        <family val="1"/>
      </rPr>
      <t>3</t>
    </r>
    <r>
      <rPr>
        <sz val="11"/>
        <color theme="1"/>
        <rFont val="Cambria"/>
        <family val="1"/>
      </rPr>
      <t>)</t>
    </r>
  </si>
  <si>
    <t>Where DV is the 5-year average of design values</t>
  </si>
  <si>
    <t>Emission Inventory Support - Birmingham Area (Jefferson, Shelby, Walker (p))</t>
  </si>
  <si>
    <t>Not included in original maintenance plan; scaled by 15%</t>
  </si>
  <si>
    <t>Only Alabama Power - Plant Gorgas was included, consistent with maintenance plan</t>
  </si>
  <si>
    <t>Partial County Population Ratio</t>
  </si>
  <si>
    <r>
      <t>VMT</t>
    </r>
    <r>
      <rPr>
        <vertAlign val="subscript"/>
        <sz val="11"/>
        <color theme="1"/>
        <rFont val="Cambria"/>
        <family val="1"/>
      </rPr>
      <t>pi</t>
    </r>
    <r>
      <rPr>
        <sz val="11"/>
        <color theme="1"/>
        <rFont val="Cambria"/>
        <family val="1"/>
      </rPr>
      <t xml:space="preserve"> is the projected vehicle miles traveled for onroad mobile sources</t>
    </r>
  </si>
  <si>
    <t>*Plant Gotgas has since permanently shut down</t>
  </si>
  <si>
    <t>From maintenance plan</t>
  </si>
  <si>
    <t>2017NEIV2</t>
  </si>
  <si>
    <r>
      <t>Plant Gorgas</t>
    </r>
    <r>
      <rPr>
        <b/>
        <vertAlign val="superscript"/>
        <sz val="11"/>
        <color theme="1"/>
        <rFont val="Cambria"/>
        <family val="1"/>
      </rPr>
      <t>*</t>
    </r>
    <r>
      <rPr>
        <b/>
        <sz val="11"/>
        <color theme="1"/>
        <rFont val="Cambria"/>
        <family val="1"/>
      </rPr>
      <t xml:space="preserve"> (2017)</t>
    </r>
  </si>
  <si>
    <t>2013-2015</t>
  </si>
  <si>
    <t>2014-2016</t>
  </si>
  <si>
    <t>2015-2017</t>
  </si>
  <si>
    <t>2016-2018</t>
  </si>
  <si>
    <t>2017-2019</t>
  </si>
  <si>
    <t>Table 5. 2017 NEI for the Birmingham Maintenance Area</t>
  </si>
  <si>
    <r>
      <t>CDV (</t>
    </r>
    <r>
      <rPr>
        <sz val="11"/>
        <color theme="1"/>
        <rFont val="Calibri"/>
        <family val="2"/>
      </rPr>
      <t>µ</t>
    </r>
    <r>
      <rPr>
        <sz val="11"/>
        <color theme="1"/>
        <rFont val="Cambria"/>
        <family val="1"/>
      </rPr>
      <t>g/m</t>
    </r>
    <r>
      <rPr>
        <vertAlign val="superscript"/>
        <sz val="11"/>
        <color theme="1"/>
        <rFont val="Cambria"/>
        <family val="1"/>
      </rPr>
      <t>3</t>
    </r>
    <r>
      <rPr>
        <sz val="11"/>
        <color theme="1"/>
        <rFont val="Cambria"/>
        <family val="1"/>
      </rPr>
      <t>)</t>
    </r>
  </si>
  <si>
    <t>Assuming the Design Values For The Years are Correct, The Calculations For This Page are Correct…………..</t>
  </si>
  <si>
    <t>*Onroad</t>
  </si>
  <si>
    <t>*Nonroad</t>
  </si>
  <si>
    <t>*  Walker County Onroad and Nonroad already apportioned for the Donut area.</t>
  </si>
  <si>
    <t>MOVES3:  Input Files Developed For Donut Area</t>
  </si>
  <si>
    <t>MOVES3: Scaled by population of partial county relative to whole county; 15%</t>
  </si>
  <si>
    <t>VMT Growth 2017-2034</t>
  </si>
  <si>
    <t>All precursors and direct PM2.5 emissions included; VMT growth projected</t>
  </si>
  <si>
    <t>Original maintenance plan precursors and direct PM2.5 emissions included; VMT growth projected</t>
  </si>
  <si>
    <t>Only direct PM2.5 and SO2 emissions included; VMT growth projected</t>
  </si>
  <si>
    <t>CV = σ/DV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</si>
</sst>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mbria"/>
      <family val="1"/>
    </font>
    <font>
      <sz val="11"/>
      <color theme="1"/>
      <name val="Cambria"/>
      <family val="1"/>
    </font>
    <font>
      <vertAlign val="subscript"/>
      <sz val="11"/>
      <color theme="1"/>
      <name val="Cambria"/>
      <family val="1"/>
    </font>
    <font>
      <vertAlign val="superscript"/>
      <sz val="11"/>
      <color theme="1"/>
      <name val="Cambria"/>
      <family val="1"/>
    </font>
    <font>
      <b/>
      <vertAlign val="subscript"/>
      <sz val="11"/>
      <color theme="1"/>
      <name val="Cambria"/>
      <family val="1"/>
    </font>
    <font>
      <u/>
      <sz val="11"/>
      <color theme="1"/>
      <name val="Cambria"/>
      <family val="1"/>
    </font>
    <font>
      <b/>
      <vertAlign val="superscript"/>
      <sz val="11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2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/>
    <xf numFmtId="164" fontId="3" fillId="2" borderId="0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right"/>
    </xf>
    <xf numFmtId="165" fontId="3" fillId="2" borderId="2" xfId="0" applyNumberFormat="1" applyFont="1" applyFill="1" applyBorder="1" applyAlignment="1">
      <alignment horizontal="center"/>
    </xf>
    <xf numFmtId="0" fontId="2" fillId="2" borderId="0" xfId="0" applyFont="1" applyFill="1" applyBorder="1"/>
    <xf numFmtId="0" fontId="3" fillId="2" borderId="0" xfId="0" applyFont="1" applyFill="1" applyAlignment="1">
      <alignment horizontal="center"/>
    </xf>
    <xf numFmtId="164" fontId="3" fillId="2" borderId="0" xfId="0" applyNumberFormat="1" applyFont="1" applyFill="1"/>
    <xf numFmtId="165" fontId="3" fillId="2" borderId="0" xfId="0" applyNumberFormat="1" applyFont="1" applyFill="1"/>
    <xf numFmtId="0" fontId="3" fillId="2" borderId="0" xfId="0" applyFont="1" applyFill="1" applyAlignment="1">
      <alignment horizontal="left"/>
    </xf>
    <xf numFmtId="0" fontId="2" fillId="2" borderId="2" xfId="0" applyFont="1" applyFill="1" applyBorder="1"/>
    <xf numFmtId="0" fontId="3" fillId="2" borderId="2" xfId="0" applyFont="1" applyFill="1" applyBorder="1"/>
    <xf numFmtId="0" fontId="2" fillId="2" borderId="2" xfId="0" applyFont="1" applyFill="1" applyBorder="1" applyAlignment="1"/>
    <xf numFmtId="0" fontId="3" fillId="2" borderId="3" xfId="0" applyFont="1" applyFill="1" applyBorder="1"/>
    <xf numFmtId="2" fontId="3" fillId="2" borderId="0" xfId="0" applyNumberFormat="1" applyFont="1" applyFill="1" applyBorder="1"/>
    <xf numFmtId="0" fontId="7" fillId="2" borderId="2" xfId="0" applyFont="1" applyFill="1" applyBorder="1"/>
    <xf numFmtId="165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165" fontId="3" fillId="2" borderId="0" xfId="0" applyNumberFormat="1" applyFont="1" applyFill="1" applyBorder="1"/>
    <xf numFmtId="164" fontId="3" fillId="2" borderId="2" xfId="0" applyNumberFormat="1" applyFont="1" applyFill="1" applyBorder="1"/>
    <xf numFmtId="0" fontId="3" fillId="2" borderId="2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wrapText="1"/>
    </xf>
    <xf numFmtId="0" fontId="3" fillId="2" borderId="2" xfId="0" applyFont="1" applyFill="1" applyBorder="1" applyAlignment="1"/>
    <xf numFmtId="0" fontId="3" fillId="2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  <xf numFmtId="2" fontId="3" fillId="2" borderId="1" xfId="0" applyNumberFormat="1" applyFont="1" applyFill="1" applyBorder="1" applyAlignment="1">
      <alignment horizontal="center"/>
    </xf>
    <xf numFmtId="2" fontId="3" fillId="2" borderId="2" xfId="0" applyNumberFormat="1" applyFont="1" applyFill="1" applyBorder="1" applyAlignment="1">
      <alignment horizontal="center"/>
    </xf>
    <xf numFmtId="0" fontId="3" fillId="2" borderId="1" xfId="0" applyFont="1" applyFill="1" applyBorder="1"/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2" fontId="3" fillId="2" borderId="0" xfId="0" applyNumberFormat="1" applyFont="1" applyFill="1"/>
    <xf numFmtId="165" fontId="3" fillId="2" borderId="1" xfId="0" applyNumberFormat="1" applyFont="1" applyFill="1" applyBorder="1"/>
    <xf numFmtId="165" fontId="3" fillId="2" borderId="2" xfId="0" applyNumberFormat="1" applyFont="1" applyFill="1" applyBorder="1"/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/>
    <xf numFmtId="0" fontId="3" fillId="0" borderId="0" xfId="0" applyFont="1" applyFill="1" applyBorder="1"/>
    <xf numFmtId="166" fontId="3" fillId="2" borderId="0" xfId="0" applyNumberFormat="1" applyFont="1" applyFill="1" applyBorder="1"/>
    <xf numFmtId="164" fontId="3" fillId="2" borderId="0" xfId="0" applyNumberFormat="1" applyFont="1" applyFill="1" applyBorder="1"/>
    <xf numFmtId="166" fontId="3" fillId="2" borderId="0" xfId="0" applyNumberFormat="1" applyFont="1" applyFill="1"/>
    <xf numFmtId="0" fontId="2" fillId="2" borderId="3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activeCell="E17" sqref="E17"/>
    </sheetView>
  </sheetViews>
  <sheetFormatPr defaultColWidth="9.140625" defaultRowHeight="14.25" x14ac:dyDescent="0.2"/>
  <cols>
    <col min="1" max="1" width="15.42578125" style="2" customWidth="1"/>
    <col min="2" max="3" width="23.140625" style="2" bestFit="1" customWidth="1"/>
    <col min="4" max="4" width="17.85546875" style="2" customWidth="1"/>
    <col min="5" max="5" width="23.140625" style="2" bestFit="1" customWidth="1"/>
    <col min="6" max="16384" width="9.140625" style="2"/>
  </cols>
  <sheetData>
    <row r="1" spans="1:9" x14ac:dyDescent="0.2">
      <c r="A1" s="1" t="s">
        <v>32</v>
      </c>
    </row>
    <row r="2" spans="1:9" x14ac:dyDescent="0.2">
      <c r="D2" s="8"/>
      <c r="E2" s="8"/>
    </row>
    <row r="3" spans="1:9" x14ac:dyDescent="0.2">
      <c r="A3" s="12" t="s">
        <v>33</v>
      </c>
      <c r="B3" s="8"/>
      <c r="D3" s="19" t="s">
        <v>69</v>
      </c>
      <c r="E3" s="29"/>
      <c r="F3" s="16"/>
    </row>
    <row r="4" spans="1:9" ht="18" x14ac:dyDescent="0.3">
      <c r="A4" s="24" t="s">
        <v>29</v>
      </c>
      <c r="B4" s="8"/>
      <c r="D4" s="6" t="s">
        <v>65</v>
      </c>
      <c r="E4" s="13">
        <v>35</v>
      </c>
    </row>
    <row r="5" spans="1:9" ht="17.25" x14ac:dyDescent="0.3">
      <c r="A5" s="24" t="s">
        <v>68</v>
      </c>
      <c r="B5" s="8"/>
      <c r="D5" s="28" t="s">
        <v>31</v>
      </c>
      <c r="E5" s="6">
        <v>1.5329999999999999</v>
      </c>
    </row>
    <row r="6" spans="1:9" ht="17.25" x14ac:dyDescent="0.3">
      <c r="A6" s="24" t="s">
        <v>66</v>
      </c>
      <c r="B6" s="8"/>
    </row>
    <row r="7" spans="1:9" ht="17.25" x14ac:dyDescent="0.3">
      <c r="A7" s="2" t="s">
        <v>67</v>
      </c>
      <c r="B7" s="8"/>
      <c r="D7" s="19" t="s">
        <v>47</v>
      </c>
      <c r="E7" s="19"/>
    </row>
    <row r="8" spans="1:9" ht="16.5" x14ac:dyDescent="0.2">
      <c r="D8" s="5" t="s">
        <v>0</v>
      </c>
      <c r="E8" s="5" t="s">
        <v>30</v>
      </c>
    </row>
    <row r="9" spans="1:9" x14ac:dyDescent="0.2">
      <c r="A9" s="12" t="s">
        <v>34</v>
      </c>
      <c r="B9" s="8"/>
      <c r="D9" s="6" t="s">
        <v>88</v>
      </c>
      <c r="E9" s="6">
        <v>23</v>
      </c>
    </row>
    <row r="10" spans="1:9" x14ac:dyDescent="0.2">
      <c r="A10" s="8" t="s">
        <v>105</v>
      </c>
      <c r="B10" s="8"/>
      <c r="D10" s="6" t="s">
        <v>89</v>
      </c>
      <c r="E10" s="6">
        <v>23</v>
      </c>
      <c r="F10" s="3"/>
    </row>
    <row r="11" spans="1:9" x14ac:dyDescent="0.2">
      <c r="A11" s="2" t="s">
        <v>78</v>
      </c>
      <c r="D11" s="6" t="s">
        <v>90</v>
      </c>
      <c r="E11" s="6">
        <v>22</v>
      </c>
    </row>
    <row r="12" spans="1:9" x14ac:dyDescent="0.2">
      <c r="A12" s="2" t="s">
        <v>64</v>
      </c>
      <c r="D12" s="6" t="s">
        <v>91</v>
      </c>
      <c r="E12" s="6">
        <v>22</v>
      </c>
    </row>
    <row r="13" spans="1:9" x14ac:dyDescent="0.2">
      <c r="D13" s="6" t="s">
        <v>92</v>
      </c>
      <c r="E13" s="6">
        <v>21</v>
      </c>
      <c r="F13" s="8"/>
      <c r="G13" s="8"/>
      <c r="H13" s="8"/>
      <c r="I13" s="8"/>
    </row>
    <row r="15" spans="1:9" x14ac:dyDescent="0.2">
      <c r="D15" s="19" t="s">
        <v>48</v>
      </c>
      <c r="E15" s="18"/>
    </row>
    <row r="16" spans="1:9" ht="17.25" x14ac:dyDescent="0.25">
      <c r="D16" s="6" t="s">
        <v>73</v>
      </c>
      <c r="E16" s="6">
        <f>AVERAGE(E9:E13)</f>
        <v>22.2</v>
      </c>
    </row>
    <row r="17" spans="1:5" x14ac:dyDescent="0.2">
      <c r="D17" s="13" t="s">
        <v>28</v>
      </c>
      <c r="E17" s="7">
        <f>_xlfn.STDEV.P(E9:E13)</f>
        <v>0.74833147735478833</v>
      </c>
    </row>
    <row r="18" spans="1:5" x14ac:dyDescent="0.2">
      <c r="D18" s="13" t="s">
        <v>27</v>
      </c>
      <c r="E18" s="9">
        <f>E17/E16</f>
        <v>3.3708625106071546E-2</v>
      </c>
    </row>
    <row r="19" spans="1:5" ht="17.25" x14ac:dyDescent="0.25">
      <c r="D19" s="27" t="s">
        <v>94</v>
      </c>
      <c r="E19" s="11">
        <f>$E$4/(1+E5*E18)</f>
        <v>33.280233222424471</v>
      </c>
    </row>
    <row r="20" spans="1:5" x14ac:dyDescent="0.2">
      <c r="D20" s="32" t="s">
        <v>4</v>
      </c>
      <c r="E20" s="6" t="str">
        <f>IF(E19&gt;E16,"Yes","No")</f>
        <v>Yes</v>
      </c>
    </row>
    <row r="21" spans="1:5" x14ac:dyDescent="0.2">
      <c r="A21" s="6"/>
      <c r="B21" s="8"/>
    </row>
    <row r="22" spans="1:5" x14ac:dyDescent="0.2">
      <c r="A22" s="6"/>
      <c r="B22" s="8"/>
    </row>
    <row r="23" spans="1:5" x14ac:dyDescent="0.2">
      <c r="A23" s="6"/>
      <c r="B23" s="8"/>
    </row>
    <row r="24" spans="1:5" x14ac:dyDescent="0.2">
      <c r="A24" s="8"/>
      <c r="B24" s="8"/>
      <c r="C24" s="2" t="s">
        <v>95</v>
      </c>
    </row>
    <row r="30" spans="1:5" x14ac:dyDescent="0.2">
      <c r="B30" s="13"/>
      <c r="C30" s="13"/>
      <c r="D30" s="13"/>
    </row>
    <row r="36" spans="1:4" x14ac:dyDescent="0.2">
      <c r="B36" s="14"/>
      <c r="C36" s="14"/>
      <c r="D36" s="14"/>
    </row>
    <row r="37" spans="1:4" x14ac:dyDescent="0.2">
      <c r="A37" s="3"/>
      <c r="B37" s="14"/>
      <c r="C37" s="14"/>
      <c r="D37" s="14"/>
    </row>
    <row r="38" spans="1:4" x14ac:dyDescent="0.2">
      <c r="A38" s="3"/>
    </row>
    <row r="39" spans="1:4" x14ac:dyDescent="0.2">
      <c r="A39" s="3"/>
      <c r="B39" s="15"/>
    </row>
    <row r="40" spans="1:4" x14ac:dyDescent="0.2">
      <c r="A40" s="3"/>
    </row>
  </sheetData>
  <pageMargins left="0.7" right="0.7" top="0.75" bottom="0.75" header="0.3" footer="0.3"/>
  <pageSetup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Normal="100" workbookViewId="0">
      <selection activeCell="J30" sqref="J30"/>
    </sheetView>
  </sheetViews>
  <sheetFormatPr defaultColWidth="9.140625" defaultRowHeight="14.25" x14ac:dyDescent="0.2"/>
  <cols>
    <col min="1" max="1" width="15.5703125" style="2" customWidth="1"/>
    <col min="2" max="5" width="12" style="2" bestFit="1" customWidth="1"/>
    <col min="6" max="6" width="11.7109375" style="2" bestFit="1" customWidth="1"/>
    <col min="7" max="7" width="15.140625" style="2" customWidth="1"/>
    <col min="8" max="8" width="13.5703125" style="2" customWidth="1"/>
    <col min="9" max="9" width="11.85546875" style="2" bestFit="1" customWidth="1"/>
    <col min="10" max="10" width="11.7109375" style="2" customWidth="1"/>
    <col min="11" max="12" width="10.7109375" style="2" customWidth="1"/>
    <col min="13" max="13" width="11.7109375" style="2" customWidth="1"/>
    <col min="14" max="14" width="19.140625" style="2" bestFit="1" customWidth="1"/>
    <col min="15" max="17" width="11.7109375" style="2" bestFit="1" customWidth="1"/>
    <col min="18" max="16384" width="9.140625" style="2"/>
  </cols>
  <sheetData>
    <row r="1" spans="1:22" x14ac:dyDescent="0.2">
      <c r="A1" s="1" t="s">
        <v>25</v>
      </c>
    </row>
    <row r="2" spans="1:22" x14ac:dyDescent="0.2">
      <c r="A2" s="1"/>
    </row>
    <row r="3" spans="1:22" x14ac:dyDescent="0.2">
      <c r="A3" s="12" t="s">
        <v>57</v>
      </c>
      <c r="B3" s="21"/>
      <c r="C3" s="21"/>
      <c r="G3" s="17" t="s">
        <v>49</v>
      </c>
      <c r="H3" s="30"/>
      <c r="I3" s="24"/>
    </row>
    <row r="4" spans="1:22" ht="17.25" x14ac:dyDescent="0.3">
      <c r="A4" s="45" t="s">
        <v>70</v>
      </c>
      <c r="B4" s="45"/>
      <c r="C4" s="45"/>
      <c r="G4" s="5" t="s">
        <v>61</v>
      </c>
      <c r="H4" s="5" t="s">
        <v>63</v>
      </c>
      <c r="I4" s="5" t="s">
        <v>62</v>
      </c>
      <c r="J4" s="20"/>
    </row>
    <row r="5" spans="1:22" ht="18" x14ac:dyDescent="0.3">
      <c r="A5" s="8" t="s">
        <v>59</v>
      </c>
      <c r="B5" s="8"/>
      <c r="C5" s="8"/>
      <c r="G5" s="41" t="s">
        <v>77</v>
      </c>
      <c r="H5" s="42">
        <f>35*(98/150)</f>
        <v>22.866666666666667</v>
      </c>
      <c r="I5" s="43" t="s">
        <v>58</v>
      </c>
      <c r="J5" s="44"/>
    </row>
    <row r="6" spans="1:22" ht="17.25" x14ac:dyDescent="0.3">
      <c r="A6" s="2" t="s">
        <v>76</v>
      </c>
      <c r="G6" s="6" t="s">
        <v>35</v>
      </c>
      <c r="H6" s="6">
        <v>0.12</v>
      </c>
      <c r="I6" s="24" t="s">
        <v>101</v>
      </c>
    </row>
    <row r="7" spans="1:22" ht="17.25" x14ac:dyDescent="0.3">
      <c r="A7" s="2" t="s">
        <v>83</v>
      </c>
      <c r="G7" s="6"/>
      <c r="H7" s="6"/>
      <c r="I7" s="24"/>
    </row>
    <row r="9" spans="1:22" x14ac:dyDescent="0.2">
      <c r="A9" s="12" t="s">
        <v>42</v>
      </c>
      <c r="G9" s="17" t="s">
        <v>93</v>
      </c>
      <c r="H9" s="18"/>
      <c r="I9" s="18"/>
      <c r="J9" s="18"/>
      <c r="K9" s="18"/>
      <c r="L9" s="18"/>
      <c r="M9" s="18"/>
      <c r="N9" s="18"/>
      <c r="O9" s="18"/>
    </row>
    <row r="10" spans="1:22" ht="17.25" x14ac:dyDescent="0.3">
      <c r="A10" s="8" t="s">
        <v>41</v>
      </c>
      <c r="G10" s="22"/>
      <c r="H10" s="49" t="s">
        <v>45</v>
      </c>
      <c r="I10" s="49"/>
      <c r="J10" s="49"/>
      <c r="K10" s="49"/>
      <c r="L10" s="49"/>
      <c r="M10" s="49" t="s">
        <v>72</v>
      </c>
      <c r="N10" s="49"/>
      <c r="O10" s="49"/>
    </row>
    <row r="11" spans="1:22" ht="18" x14ac:dyDescent="0.3">
      <c r="A11" s="2" t="s">
        <v>46</v>
      </c>
      <c r="G11" s="5"/>
      <c r="H11" s="5" t="s">
        <v>36</v>
      </c>
      <c r="I11" s="5" t="s">
        <v>37</v>
      </c>
      <c r="J11" s="5" t="s">
        <v>7</v>
      </c>
      <c r="K11" s="5" t="s">
        <v>8</v>
      </c>
      <c r="L11" s="5" t="s">
        <v>40</v>
      </c>
      <c r="M11" s="5" t="s">
        <v>71</v>
      </c>
      <c r="N11" s="5" t="s">
        <v>38</v>
      </c>
      <c r="O11" s="5" t="s">
        <v>39</v>
      </c>
    </row>
    <row r="12" spans="1:22" ht="17.25" x14ac:dyDescent="0.3">
      <c r="A12" s="2" t="s">
        <v>60</v>
      </c>
      <c r="G12" s="4" t="s">
        <v>1</v>
      </c>
      <c r="H12" s="23">
        <f>'2017NEIV2'!K19</f>
        <v>8.9665246473797797</v>
      </c>
      <c r="I12" s="23">
        <f>'2017NEIV2'!L19</f>
        <v>52.876632520857996</v>
      </c>
      <c r="J12" s="23">
        <f>'2017NEIV2'!M19</f>
        <v>73.067039395515621</v>
      </c>
      <c r="K12" s="23">
        <f>'2017NEIV2'!N19</f>
        <v>9.3821146220320539</v>
      </c>
      <c r="L12" s="23">
        <f>'2017NEIV2'!O19</f>
        <v>0.33257005378630139</v>
      </c>
      <c r="M12" s="23">
        <f>SUM(H12:L12)</f>
        <v>144.62488123957175</v>
      </c>
      <c r="N12" s="23">
        <f>SUM(H12:J12)</f>
        <v>134.9101965637534</v>
      </c>
      <c r="O12" s="23">
        <f>SUM(H12:I12)</f>
        <v>61.843157168237774</v>
      </c>
      <c r="P12" s="8"/>
      <c r="Q12" s="8"/>
      <c r="R12" s="8"/>
      <c r="S12" s="8"/>
      <c r="T12" s="8"/>
      <c r="U12" s="8"/>
    </row>
    <row r="13" spans="1:22" x14ac:dyDescent="0.2">
      <c r="G13" s="4" t="s">
        <v>14</v>
      </c>
      <c r="H13" s="23">
        <f>'2017NEIV2'!K20</f>
        <v>13.953846363857034</v>
      </c>
      <c r="I13" s="23">
        <f>'2017NEIV2'!L20</f>
        <v>0.45645652910712753</v>
      </c>
      <c r="J13" s="23">
        <f>'2017NEIV2'!M20</f>
        <v>10.007955302340747</v>
      </c>
      <c r="K13" s="23">
        <f>'2017NEIV2'!N20</f>
        <v>171.23926099996632</v>
      </c>
      <c r="L13" s="23">
        <f>'2017NEIV2'!O20</f>
        <v>1.7130111772714931</v>
      </c>
      <c r="M13" s="23">
        <f t="shared" ref="M13:M16" si="0">SUM(H13:L13)</f>
        <v>197.3705303725427</v>
      </c>
      <c r="N13" s="23">
        <f t="shared" ref="N13:N16" si="1">SUM(H13:J13)</f>
        <v>24.418258195304908</v>
      </c>
      <c r="O13" s="23">
        <f t="shared" ref="O13:O16" si="2">SUM(H13:I13)</f>
        <v>14.410302892964161</v>
      </c>
      <c r="P13" s="8"/>
      <c r="Q13" s="8"/>
      <c r="R13" s="8"/>
      <c r="S13" s="8"/>
      <c r="T13" s="8"/>
      <c r="U13" s="8"/>
      <c r="V13" s="8"/>
    </row>
    <row r="14" spans="1:22" x14ac:dyDescent="0.2">
      <c r="G14" s="4" t="s">
        <v>15</v>
      </c>
      <c r="H14" s="23">
        <f>'2017NEIV2'!K21</f>
        <v>0.8014</v>
      </c>
      <c r="I14" s="23">
        <f>'2017NEIV2'!L21</f>
        <v>0.27200000000000002</v>
      </c>
      <c r="J14" s="23">
        <f>'2017NEIV2'!M21</f>
        <v>27.959999999999997</v>
      </c>
      <c r="K14" s="23">
        <f>'2017NEIV2'!N21</f>
        <v>12.909999999999998</v>
      </c>
      <c r="L14" s="23">
        <f>'2017NEIV2'!O21</f>
        <v>0.94699999999999995</v>
      </c>
      <c r="M14" s="23">
        <f t="shared" si="0"/>
        <v>42.8904</v>
      </c>
      <c r="N14" s="23">
        <f t="shared" si="1"/>
        <v>29.033399999999997</v>
      </c>
      <c r="O14" s="23">
        <f t="shared" si="2"/>
        <v>1.0733999999999999</v>
      </c>
    </row>
    <row r="15" spans="1:22" x14ac:dyDescent="0.2">
      <c r="A15" s="45"/>
      <c r="B15" s="45"/>
      <c r="C15" s="45"/>
      <c r="D15" s="45"/>
      <c r="G15" s="4" t="s">
        <v>2</v>
      </c>
      <c r="H15" s="23">
        <f>'2017NEIV2'!K22</f>
        <v>1.0680000000000001</v>
      </c>
      <c r="I15" s="7">
        <f>'2017NEIV2'!L22</f>
        <v>1.5099999999999999E-2</v>
      </c>
      <c r="J15" s="23">
        <f>'2017NEIV2'!M22</f>
        <v>9.4400000000000013</v>
      </c>
      <c r="K15" s="23">
        <f>'2017NEIV2'!N22</f>
        <v>7.75</v>
      </c>
      <c r="L15" s="7">
        <f>'2017NEIV2'!O22</f>
        <v>1.8100000000000002E-2</v>
      </c>
      <c r="M15" s="23">
        <f t="shared" si="0"/>
        <v>18.2912</v>
      </c>
      <c r="N15" s="23">
        <f t="shared" si="1"/>
        <v>10.523100000000001</v>
      </c>
      <c r="O15" s="23">
        <f t="shared" si="2"/>
        <v>1.0831</v>
      </c>
    </row>
    <row r="16" spans="1:22" x14ac:dyDescent="0.2">
      <c r="G16" s="10" t="s">
        <v>10</v>
      </c>
      <c r="H16" s="11">
        <f>'2017NEIV2'!K23</f>
        <v>1.1216101102739726</v>
      </c>
      <c r="I16" s="11">
        <f>'2017NEIV2'!L23</f>
        <v>0.12053806904109589</v>
      </c>
      <c r="J16" s="11">
        <f>'2017NEIV2'!M23</f>
        <v>0.26108253328767123</v>
      </c>
      <c r="K16" s="11">
        <f>'2017NEIV2'!N23</f>
        <v>2.8993594538356167</v>
      </c>
      <c r="L16" s="11">
        <f>'2017NEIV2'!O23</f>
        <v>0.20169309424657533</v>
      </c>
      <c r="M16" s="11">
        <f t="shared" si="0"/>
        <v>4.604283260684932</v>
      </c>
      <c r="N16" s="11">
        <f t="shared" si="1"/>
        <v>1.5032307126027398</v>
      </c>
      <c r="O16" s="11">
        <f t="shared" si="2"/>
        <v>1.2421481793150686</v>
      </c>
    </row>
    <row r="17" spans="1:15" x14ac:dyDescent="0.2">
      <c r="G17" s="4" t="s">
        <v>3</v>
      </c>
      <c r="H17" s="23">
        <f>SUM(H12:H16)</f>
        <v>25.911381121510789</v>
      </c>
      <c r="I17" s="23">
        <f t="shared" ref="I17:M17" si="3">SUM(I12:I16)</f>
        <v>53.740727119006216</v>
      </c>
      <c r="J17" s="23">
        <f t="shared" si="3"/>
        <v>120.73607723114404</v>
      </c>
      <c r="K17" s="23">
        <f t="shared" si="3"/>
        <v>204.18073507583398</v>
      </c>
      <c r="L17" s="23">
        <f t="shared" si="3"/>
        <v>3.2123743253043697</v>
      </c>
      <c r="M17" s="23">
        <f t="shared" si="3"/>
        <v>407.78129487279944</v>
      </c>
      <c r="N17" s="23">
        <f t="shared" ref="N17:O17" si="4">SUM(N12:N16)</f>
        <v>200.38818547166105</v>
      </c>
      <c r="O17" s="23">
        <f t="shared" si="4"/>
        <v>79.652108240517009</v>
      </c>
    </row>
    <row r="18" spans="1:15" x14ac:dyDescent="0.2">
      <c r="G18" s="4" t="s">
        <v>26</v>
      </c>
      <c r="H18" s="23">
        <f t="shared" ref="H18:L18" si="5">H14/H17*100</f>
        <v>3.0928494171802505</v>
      </c>
      <c r="I18" s="23">
        <f t="shared" si="5"/>
        <v>0.5061338291863251</v>
      </c>
      <c r="J18" s="23">
        <f t="shared" si="5"/>
        <v>23.157949671059612</v>
      </c>
      <c r="K18" s="23">
        <f t="shared" si="5"/>
        <v>6.3228296221017848</v>
      </c>
      <c r="L18" s="23">
        <f t="shared" si="5"/>
        <v>29.479752485267184</v>
      </c>
      <c r="M18" s="23">
        <f>M14/M17*100</f>
        <v>10.51799102589513</v>
      </c>
      <c r="N18" s="23">
        <f t="shared" ref="N18:O18" si="6">N14/N17*100</f>
        <v>14.488578721177106</v>
      </c>
      <c r="O18" s="23">
        <f t="shared" si="6"/>
        <v>1.3476102813986641</v>
      </c>
    </row>
    <row r="19" spans="1:15" ht="16.5" x14ac:dyDescent="0.2">
      <c r="G19" s="24" t="s">
        <v>43</v>
      </c>
      <c r="H19" s="21"/>
      <c r="I19" s="21"/>
      <c r="J19" s="21"/>
      <c r="K19" s="21"/>
      <c r="L19" s="21"/>
      <c r="M19" s="25"/>
      <c r="N19" s="25"/>
      <c r="O19" s="25"/>
    </row>
    <row r="20" spans="1:15" ht="18" x14ac:dyDescent="0.3">
      <c r="G20" s="24" t="s">
        <v>44</v>
      </c>
      <c r="H20" s="21"/>
      <c r="I20" s="21"/>
      <c r="J20" s="21"/>
      <c r="K20" s="21"/>
      <c r="L20" s="21"/>
      <c r="M20" s="25"/>
      <c r="N20" s="25"/>
      <c r="O20" s="25"/>
    </row>
    <row r="22" spans="1:15" x14ac:dyDescent="0.2">
      <c r="G22" s="17" t="s">
        <v>55</v>
      </c>
      <c r="H22" s="18"/>
      <c r="I22" s="18"/>
      <c r="J22" s="18"/>
      <c r="K22" s="18"/>
      <c r="L22" s="18"/>
      <c r="M22" s="18"/>
      <c r="N22" s="18"/>
      <c r="O22" s="18"/>
    </row>
    <row r="23" spans="1:15" x14ac:dyDescent="0.2">
      <c r="G23" s="17" t="s">
        <v>51</v>
      </c>
      <c r="H23" s="17" t="s">
        <v>50</v>
      </c>
      <c r="I23" s="18"/>
      <c r="J23" s="18"/>
      <c r="K23" s="18"/>
      <c r="L23" s="18"/>
      <c r="M23" s="18"/>
      <c r="N23" s="18"/>
      <c r="O23" s="18"/>
    </row>
    <row r="24" spans="1:15" x14ac:dyDescent="0.2">
      <c r="A24" s="24"/>
      <c r="B24" s="21"/>
      <c r="C24" s="21"/>
      <c r="D24" s="21"/>
      <c r="E24" s="21"/>
      <c r="F24" s="21"/>
      <c r="G24" s="13" t="s">
        <v>52</v>
      </c>
      <c r="H24" s="2" t="s">
        <v>102</v>
      </c>
    </row>
    <row r="25" spans="1:15" x14ac:dyDescent="0.2">
      <c r="G25" s="13" t="s">
        <v>53</v>
      </c>
      <c r="H25" s="2" t="s">
        <v>103</v>
      </c>
    </row>
    <row r="26" spans="1:15" x14ac:dyDescent="0.2">
      <c r="G26" s="13" t="s">
        <v>54</v>
      </c>
      <c r="H26" s="2" t="s">
        <v>104</v>
      </c>
      <c r="N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</row>
    <row r="28" spans="1:15" x14ac:dyDescent="0.2">
      <c r="C28" s="8"/>
      <c r="D28" s="8"/>
      <c r="E28" s="8"/>
      <c r="F28" s="8"/>
      <c r="G28" s="17" t="s">
        <v>56</v>
      </c>
      <c r="H28" s="26"/>
      <c r="I28" s="26"/>
      <c r="J28" s="26"/>
      <c r="K28" s="47"/>
      <c r="L28" s="47"/>
      <c r="M28" s="8"/>
    </row>
    <row r="29" spans="1:15" x14ac:dyDescent="0.2">
      <c r="C29" s="8"/>
      <c r="D29" s="8"/>
      <c r="E29" s="8"/>
      <c r="F29" s="8"/>
      <c r="G29" s="20"/>
      <c r="H29" s="5" t="s">
        <v>52</v>
      </c>
      <c r="I29" s="5" t="s">
        <v>53</v>
      </c>
      <c r="J29" s="5" t="s">
        <v>54</v>
      </c>
      <c r="K29" s="8"/>
      <c r="L29" s="8"/>
      <c r="M29" s="8"/>
    </row>
    <row r="30" spans="1:15" ht="18" x14ac:dyDescent="0.3">
      <c r="C30" s="8"/>
      <c r="D30" s="8"/>
      <c r="E30" s="8"/>
      <c r="F30" s="8"/>
      <c r="G30" s="6" t="s">
        <v>74</v>
      </c>
      <c r="H30" s="33">
        <f>M18/100*'Critical Design Value'!$E$16</f>
        <v>2.3349940077487186</v>
      </c>
      <c r="I30" s="33">
        <f>N18/100*'Critical Design Value'!$E$16</f>
        <v>3.2164644761013172</v>
      </c>
      <c r="J30" s="33">
        <f>O18/100*'Critical Design Value'!$E$16</f>
        <v>0.2991694824705034</v>
      </c>
    </row>
    <row r="31" spans="1:15" ht="17.25" x14ac:dyDescent="0.25">
      <c r="G31" s="27" t="s">
        <v>75</v>
      </c>
      <c r="H31" s="34">
        <f>'Critical Design Value'!$E$16+($H$6*H30)</f>
        <v>22.480199280929845</v>
      </c>
      <c r="I31" s="34">
        <f>'Critical Design Value'!$E$16+($H$6*I30)</f>
        <v>22.585975737132156</v>
      </c>
      <c r="J31" s="34">
        <f>'Critical Design Value'!$E$16+($H$6*J30)</f>
        <v>22.23590033789646</v>
      </c>
    </row>
    <row r="32" spans="1:15" x14ac:dyDescent="0.2">
      <c r="G32" s="31" t="s">
        <v>4</v>
      </c>
      <c r="H32" s="6" t="str">
        <f t="shared" ref="H32:J32" si="7">IF(H31&lt;$H$5,"Yes","No")</f>
        <v>Yes</v>
      </c>
      <c r="I32" s="6" t="str">
        <f t="shared" si="7"/>
        <v>Yes</v>
      </c>
      <c r="J32" s="6" t="str">
        <f t="shared" si="7"/>
        <v>Yes</v>
      </c>
    </row>
    <row r="34" spans="8:10" x14ac:dyDescent="0.2">
      <c r="H34" s="8"/>
      <c r="I34" s="8"/>
      <c r="J34" s="8"/>
    </row>
    <row r="35" spans="8:10" x14ac:dyDescent="0.2">
      <c r="H35" s="8"/>
      <c r="I35" s="8"/>
      <c r="J35" s="8"/>
    </row>
  </sheetData>
  <mergeCells count="2">
    <mergeCell ref="H10:L10"/>
    <mergeCell ref="M10:O10"/>
  </mergeCells>
  <pageMargins left="0.7" right="0.7" top="0.75" bottom="0.75" header="0.3" footer="0.3"/>
  <pageSetup paperSize="5" scale="80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tabSelected="1" zoomScale="80" zoomScaleNormal="80" workbookViewId="0">
      <selection activeCell="H44" sqref="H44"/>
    </sheetView>
  </sheetViews>
  <sheetFormatPr defaultColWidth="9.140625" defaultRowHeight="14.25" x14ac:dyDescent="0.2"/>
  <cols>
    <col min="1" max="1" width="16.140625" style="2" bestFit="1" customWidth="1"/>
    <col min="2" max="2" width="28" style="2" bestFit="1" customWidth="1"/>
    <col min="3" max="7" width="11.140625" style="2" bestFit="1" customWidth="1"/>
    <col min="8" max="8" width="9.140625" style="2" customWidth="1"/>
    <col min="9" max="9" width="16.140625" style="2" customWidth="1"/>
    <col min="10" max="10" width="28" style="2" customWidth="1"/>
    <col min="11" max="15" width="11.140625" style="2" bestFit="1" customWidth="1"/>
    <col min="16" max="16" width="9.140625" style="2"/>
    <col min="17" max="17" width="21.42578125" style="2" bestFit="1" customWidth="1"/>
    <col min="18" max="18" width="9.5703125" style="2" bestFit="1" customWidth="1"/>
    <col min="19" max="19" width="10.5703125" style="2" bestFit="1" customWidth="1"/>
    <col min="20" max="21" width="9.5703125" style="2" bestFit="1" customWidth="1"/>
    <col min="22" max="16384" width="9.140625" style="2"/>
  </cols>
  <sheetData>
    <row r="1" spans="1:21" x14ac:dyDescent="0.2">
      <c r="A1" s="1" t="s">
        <v>79</v>
      </c>
    </row>
    <row r="3" spans="1:21" x14ac:dyDescent="0.2">
      <c r="A3" s="17" t="s">
        <v>11</v>
      </c>
      <c r="B3" s="37" t="s">
        <v>86</v>
      </c>
      <c r="C3" s="37" t="s">
        <v>5</v>
      </c>
      <c r="D3" s="37" t="s">
        <v>6</v>
      </c>
      <c r="E3" s="37" t="s">
        <v>7</v>
      </c>
      <c r="F3" s="37" t="s">
        <v>8</v>
      </c>
      <c r="G3" s="37" t="s">
        <v>9</v>
      </c>
      <c r="I3" s="37" t="s">
        <v>12</v>
      </c>
      <c r="J3" s="37" t="s">
        <v>86</v>
      </c>
      <c r="K3" s="37" t="s">
        <v>5</v>
      </c>
      <c r="L3" s="37" t="s">
        <v>6</v>
      </c>
      <c r="M3" s="37" t="s">
        <v>7</v>
      </c>
      <c r="N3" s="37" t="s">
        <v>8</v>
      </c>
      <c r="O3" s="37" t="s">
        <v>9</v>
      </c>
      <c r="Q3" s="36" t="s">
        <v>82</v>
      </c>
    </row>
    <row r="4" spans="1:21" x14ac:dyDescent="0.2">
      <c r="A4" s="2" t="s">
        <v>13</v>
      </c>
      <c r="B4" s="2" t="s">
        <v>1</v>
      </c>
      <c r="C4" s="15">
        <v>2323.1041558386501</v>
      </c>
      <c r="D4" s="15">
        <v>4253.4174765651696</v>
      </c>
      <c r="E4" s="15">
        <v>13038.8357519172</v>
      </c>
      <c r="F4" s="15">
        <v>3066.6000814386998</v>
      </c>
      <c r="G4" s="15">
        <v>25.835767008000001</v>
      </c>
      <c r="I4" s="35" t="s">
        <v>13</v>
      </c>
      <c r="J4" s="35" t="s">
        <v>1</v>
      </c>
      <c r="K4" s="39">
        <f>C4/365</f>
        <v>6.3646689201058901</v>
      </c>
      <c r="L4" s="39">
        <f t="shared" ref="L4:O8" si="0">D4/365</f>
        <v>11.653198565931971</v>
      </c>
      <c r="M4" s="39">
        <f t="shared" si="0"/>
        <v>35.722837676485483</v>
      </c>
      <c r="N4" s="39">
        <f t="shared" si="0"/>
        <v>8.4016440587361636</v>
      </c>
      <c r="O4" s="39">
        <f t="shared" si="0"/>
        <v>7.0782923309589046E-2</v>
      </c>
      <c r="Q4" s="2">
        <v>0.15</v>
      </c>
    </row>
    <row r="5" spans="1:21" x14ac:dyDescent="0.2">
      <c r="B5" s="2" t="s">
        <v>14</v>
      </c>
      <c r="C5" s="15">
        <v>3658.4834996363602</v>
      </c>
      <c r="D5" s="15">
        <v>135.04961495115001</v>
      </c>
      <c r="E5" s="15">
        <v>2436.8579719252002</v>
      </c>
      <c r="F5" s="15">
        <v>35712.860507205703</v>
      </c>
      <c r="G5" s="15">
        <v>354.32988116500002</v>
      </c>
      <c r="I5" s="8"/>
      <c r="J5" s="8" t="s">
        <v>14</v>
      </c>
      <c r="K5" s="25">
        <f t="shared" ref="K5:K8" si="1">C5/365</f>
        <v>10.023242464757152</v>
      </c>
      <c r="L5" s="25">
        <f t="shared" si="0"/>
        <v>0.36999894507164383</v>
      </c>
      <c r="M5" s="25">
        <f t="shared" si="0"/>
        <v>6.6763232107539734</v>
      </c>
      <c r="N5" s="25">
        <f t="shared" si="0"/>
        <v>97.843453444399188</v>
      </c>
      <c r="O5" s="25">
        <f t="shared" si="0"/>
        <v>0.97076679771232877</v>
      </c>
      <c r="Q5" s="2" t="s">
        <v>85</v>
      </c>
    </row>
    <row r="6" spans="1:21" x14ac:dyDescent="0.2">
      <c r="B6" s="2" t="s">
        <v>15</v>
      </c>
      <c r="C6" s="15">
        <v>292.00721110400002</v>
      </c>
      <c r="D6" s="15">
        <v>99.912674315000004</v>
      </c>
      <c r="E6" s="15">
        <v>9966.3443674999999</v>
      </c>
      <c r="F6" s="15">
        <v>5474.6467871599998</v>
      </c>
      <c r="G6" s="15">
        <v>308.17976709999999</v>
      </c>
      <c r="I6" s="8"/>
      <c r="J6" s="8" t="s">
        <v>15</v>
      </c>
      <c r="K6" s="21">
        <v>0.54</v>
      </c>
      <c r="L6" s="21">
        <v>0.21</v>
      </c>
      <c r="M6" s="21">
        <v>20.83</v>
      </c>
      <c r="N6" s="21">
        <v>9.8699999999999992</v>
      </c>
      <c r="O6" s="21">
        <v>0.76</v>
      </c>
    </row>
    <row r="7" spans="1:21" x14ac:dyDescent="0.2">
      <c r="B7" s="2" t="s">
        <v>2</v>
      </c>
      <c r="C7" s="15">
        <v>279.36293231345797</v>
      </c>
      <c r="D7" s="15">
        <v>5.3449254189047002</v>
      </c>
      <c r="E7" s="15">
        <v>2755.3292011475</v>
      </c>
      <c r="F7" s="15">
        <v>1610.9198700213001</v>
      </c>
      <c r="G7" s="15">
        <v>4.9246541025230002</v>
      </c>
      <c r="I7" s="8"/>
      <c r="J7" s="8" t="s">
        <v>2</v>
      </c>
      <c r="K7" s="21">
        <v>0.67</v>
      </c>
      <c r="L7" s="47">
        <v>8.9999999999999993E-3</v>
      </c>
      <c r="M7" s="21">
        <v>6.69</v>
      </c>
      <c r="N7" s="21">
        <v>4.1900000000000004</v>
      </c>
      <c r="O7" s="47">
        <v>1.2E-2</v>
      </c>
    </row>
    <row r="8" spans="1:21" x14ac:dyDescent="0.2">
      <c r="B8" s="2" t="s">
        <v>10</v>
      </c>
      <c r="C8" s="15">
        <v>92.913909000000004</v>
      </c>
      <c r="D8" s="15">
        <v>10.070131</v>
      </c>
      <c r="E8" s="15">
        <v>21.939658999999999</v>
      </c>
      <c r="F8" s="15">
        <v>239.54814200000001</v>
      </c>
      <c r="G8" s="15">
        <v>16.664028999999999</v>
      </c>
      <c r="I8" s="8"/>
      <c r="J8" s="8" t="s">
        <v>10</v>
      </c>
      <c r="K8" s="25">
        <f t="shared" si="1"/>
        <v>0.25455865479452056</v>
      </c>
      <c r="L8" s="25">
        <f t="shared" si="0"/>
        <v>2.75894E-2</v>
      </c>
      <c r="M8" s="25">
        <f t="shared" si="0"/>
        <v>6.0108654794520544E-2</v>
      </c>
      <c r="N8" s="25">
        <f t="shared" si="0"/>
        <v>0.65629627945205482</v>
      </c>
      <c r="O8" s="25">
        <f t="shared" si="0"/>
        <v>4.565487397260274E-2</v>
      </c>
    </row>
    <row r="9" spans="1:21" x14ac:dyDescent="0.2">
      <c r="A9" s="2" t="s">
        <v>16</v>
      </c>
      <c r="B9" s="2" t="s">
        <v>1</v>
      </c>
      <c r="C9" s="15">
        <v>852.89734042996997</v>
      </c>
      <c r="D9" s="15">
        <v>13750.423393507999</v>
      </c>
      <c r="E9" s="15">
        <v>9519.3536281460001</v>
      </c>
      <c r="F9" s="15">
        <v>285.18175557799998</v>
      </c>
      <c r="G9" s="15">
        <v>94.202302673999995</v>
      </c>
      <c r="I9" s="35" t="s">
        <v>16</v>
      </c>
      <c r="J9" s="35" t="s">
        <v>1</v>
      </c>
      <c r="K9" s="39">
        <f t="shared" ref="K9:K18" si="2">C9/365</f>
        <v>2.3367050422738904</v>
      </c>
      <c r="L9" s="39">
        <f t="shared" ref="L9:L18" si="3">D9/365</f>
        <v>37.672392858926024</v>
      </c>
      <c r="M9" s="39">
        <f t="shared" ref="M9:M18" si="4">E9/365</f>
        <v>26.080420899030138</v>
      </c>
      <c r="N9" s="39">
        <f t="shared" ref="N9:N18" si="5">F9/365</f>
        <v>0.78131987829589034</v>
      </c>
      <c r="O9" s="39">
        <f t="shared" ref="O9:O18" si="6">G9/365</f>
        <v>0.25808850047671233</v>
      </c>
    </row>
    <row r="10" spans="1:21" x14ac:dyDescent="0.2">
      <c r="B10" s="2" t="s">
        <v>14</v>
      </c>
      <c r="C10" s="15">
        <v>1347.9004289084901</v>
      </c>
      <c r="D10" s="15">
        <v>30.60690476105</v>
      </c>
      <c r="E10" s="15">
        <v>1099.04802476178</v>
      </c>
      <c r="F10" s="15">
        <v>23150.514045583499</v>
      </c>
      <c r="G10" s="15">
        <v>208.86429295280001</v>
      </c>
      <c r="I10" s="8"/>
      <c r="J10" s="8" t="s">
        <v>14</v>
      </c>
      <c r="K10" s="25">
        <f t="shared" si="2"/>
        <v>3.6928778874205208</v>
      </c>
      <c r="L10" s="25">
        <f t="shared" si="3"/>
        <v>8.3854533591917801E-2</v>
      </c>
      <c r="M10" s="25">
        <f t="shared" si="4"/>
        <v>3.0110904787993973</v>
      </c>
      <c r="N10" s="25">
        <f t="shared" si="5"/>
        <v>63.426065878310958</v>
      </c>
      <c r="O10" s="25">
        <f t="shared" si="6"/>
        <v>0.57223093959671234</v>
      </c>
    </row>
    <row r="11" spans="1:21" x14ac:dyDescent="0.2">
      <c r="B11" s="2" t="s">
        <v>15</v>
      </c>
      <c r="C11" s="15">
        <v>78.903082279000003</v>
      </c>
      <c r="D11" s="15">
        <v>28.368801114899998</v>
      </c>
      <c r="E11" s="15">
        <v>2842.4028863600001</v>
      </c>
      <c r="F11" s="15">
        <v>1777.1418371</v>
      </c>
      <c r="G11" s="15">
        <v>86.295995218900003</v>
      </c>
      <c r="I11" s="8"/>
      <c r="J11" s="8" t="s">
        <v>15</v>
      </c>
      <c r="K11" s="21">
        <v>0.25</v>
      </c>
      <c r="L11" s="21">
        <v>0.06</v>
      </c>
      <c r="M11" s="21">
        <v>6.81</v>
      </c>
      <c r="N11" s="21">
        <v>2.94</v>
      </c>
      <c r="O11" s="21">
        <v>0.18</v>
      </c>
    </row>
    <row r="12" spans="1:21" x14ac:dyDescent="0.2">
      <c r="B12" s="2" t="s">
        <v>2</v>
      </c>
      <c r="C12" s="15">
        <v>113.595031627605</v>
      </c>
      <c r="D12" s="15">
        <v>2.0725289504136999</v>
      </c>
      <c r="E12" s="15">
        <v>699.10529524230003</v>
      </c>
      <c r="F12" s="15">
        <v>1190.9450752258001</v>
      </c>
      <c r="G12" s="15">
        <v>1.796366296108</v>
      </c>
      <c r="I12" s="8"/>
      <c r="J12" s="8" t="s">
        <v>2</v>
      </c>
      <c r="K12" s="21">
        <v>0.39</v>
      </c>
      <c r="L12" s="47">
        <v>6.0000000000000001E-3</v>
      </c>
      <c r="M12" s="21">
        <v>2.68</v>
      </c>
      <c r="N12" s="21">
        <v>3.5</v>
      </c>
      <c r="O12" s="47">
        <v>6.0000000000000001E-3</v>
      </c>
      <c r="Q12" s="12" t="s">
        <v>17</v>
      </c>
      <c r="R12" s="8"/>
      <c r="S12" s="8"/>
      <c r="T12" s="8"/>
      <c r="U12" s="8"/>
    </row>
    <row r="13" spans="1:21" x14ac:dyDescent="0.2">
      <c r="B13" s="2" t="s">
        <v>10</v>
      </c>
      <c r="C13" s="15">
        <v>289.596227</v>
      </c>
      <c r="D13" s="15">
        <v>31.032664</v>
      </c>
      <c r="E13" s="15">
        <v>67.080342999999999</v>
      </c>
      <c r="F13" s="15">
        <v>749.27761199999998</v>
      </c>
      <c r="G13" s="15">
        <v>52.123317999999998</v>
      </c>
      <c r="I13" s="8"/>
      <c r="J13" s="8" t="s">
        <v>10</v>
      </c>
      <c r="K13" s="25">
        <f t="shared" si="2"/>
        <v>0.79341432054794525</v>
      </c>
      <c r="L13" s="25">
        <f t="shared" si="3"/>
        <v>8.502099726027397E-2</v>
      </c>
      <c r="M13" s="25">
        <f t="shared" si="4"/>
        <v>0.18378176164383561</v>
      </c>
      <c r="N13" s="25">
        <f t="shared" si="5"/>
        <v>2.0528153753424658</v>
      </c>
      <c r="O13" s="25">
        <f t="shared" si="6"/>
        <v>0.14280361095890409</v>
      </c>
      <c r="Q13" s="37" t="s">
        <v>5</v>
      </c>
      <c r="R13" s="37" t="s">
        <v>6</v>
      </c>
      <c r="S13" s="37" t="s">
        <v>7</v>
      </c>
      <c r="T13" s="37" t="s">
        <v>8</v>
      </c>
      <c r="U13" s="37" t="s">
        <v>9</v>
      </c>
    </row>
    <row r="14" spans="1:21" x14ac:dyDescent="0.2">
      <c r="A14" s="2" t="s">
        <v>18</v>
      </c>
      <c r="B14" s="2" t="s">
        <v>1</v>
      </c>
      <c r="C14" s="15">
        <v>129.41693186800001</v>
      </c>
      <c r="D14" s="15">
        <v>1302.2277506800001</v>
      </c>
      <c r="E14" s="15">
        <v>4183.3896976919996</v>
      </c>
      <c r="F14" s="15">
        <v>357.92799441199998</v>
      </c>
      <c r="G14" s="15">
        <v>1.35</v>
      </c>
      <c r="I14" s="35" t="s">
        <v>18</v>
      </c>
      <c r="J14" s="35" t="s">
        <v>1</v>
      </c>
      <c r="K14" s="39">
        <f t="shared" si="2"/>
        <v>0.35456693662465755</v>
      </c>
      <c r="L14" s="39">
        <f t="shared" si="3"/>
        <v>3.5677472621369866</v>
      </c>
      <c r="M14" s="39">
        <f t="shared" si="4"/>
        <v>11.461341637512328</v>
      </c>
      <c r="N14" s="39">
        <f t="shared" si="5"/>
        <v>0.98062464222465751</v>
      </c>
      <c r="O14" s="39">
        <f t="shared" si="6"/>
        <v>3.6986301369863017E-3</v>
      </c>
      <c r="Q14" s="38">
        <f>C29</f>
        <v>0.265150685</v>
      </c>
      <c r="R14" s="38">
        <f>D29</f>
        <v>3.5510410960000001</v>
      </c>
      <c r="S14" s="38">
        <f>E29</f>
        <v>11.263780819999999</v>
      </c>
      <c r="T14" s="38">
        <f>F29</f>
        <v>0.19915068499999999</v>
      </c>
      <c r="U14" s="38">
        <f>G29</f>
        <v>3.6986300000000001E-3</v>
      </c>
    </row>
    <row r="15" spans="1:21" x14ac:dyDescent="0.2">
      <c r="A15" s="2" t="s">
        <v>19</v>
      </c>
      <c r="B15" s="2" t="s">
        <v>14</v>
      </c>
      <c r="C15" s="15">
        <v>578.466628419779</v>
      </c>
      <c r="D15" s="15">
        <v>6.33408941267699</v>
      </c>
      <c r="E15" s="15">
        <v>779.98459111595002</v>
      </c>
      <c r="F15" s="15">
        <v>24259.704747989999</v>
      </c>
      <c r="G15" s="15">
        <v>413.69937057530001</v>
      </c>
      <c r="I15" s="8"/>
      <c r="J15" s="8" t="s">
        <v>14</v>
      </c>
      <c r="K15" s="25">
        <f t="shared" si="2"/>
        <v>1.5848400778624083</v>
      </c>
      <c r="L15" s="25">
        <f t="shared" si="3"/>
        <v>1.7353669623772574E-2</v>
      </c>
      <c r="M15" s="25">
        <f t="shared" si="4"/>
        <v>2.1369440852491781</v>
      </c>
      <c r="N15" s="25">
        <f t="shared" si="5"/>
        <v>66.464944515041097</v>
      </c>
      <c r="O15" s="25">
        <f t="shared" si="6"/>
        <v>1.1334229330830137</v>
      </c>
      <c r="Q15" s="38">
        <f t="shared" ref="Q15:U18" si="7">K15*0.15</f>
        <v>0.23772601167936125</v>
      </c>
      <c r="R15" s="38">
        <f t="shared" si="7"/>
        <v>2.6030504435658858E-3</v>
      </c>
      <c r="S15" s="38">
        <f t="shared" si="7"/>
        <v>0.3205416127873767</v>
      </c>
      <c r="T15" s="38">
        <f t="shared" si="7"/>
        <v>9.9697416772561649</v>
      </c>
      <c r="U15" s="38">
        <f t="shared" si="7"/>
        <v>0.17001343996245205</v>
      </c>
    </row>
    <row r="16" spans="1:21" x14ac:dyDescent="0.2">
      <c r="B16" s="2" t="s">
        <v>15</v>
      </c>
      <c r="C16" s="15">
        <v>43.410714255000002</v>
      </c>
      <c r="D16" s="15">
        <v>10.142884756000001</v>
      </c>
      <c r="E16" s="15">
        <v>1611.1199644799999</v>
      </c>
      <c r="F16" s="15">
        <v>798.02133581999999</v>
      </c>
      <c r="G16" s="15">
        <v>34.299404381000002</v>
      </c>
      <c r="I16" s="8"/>
      <c r="J16" s="8" t="s">
        <v>96</v>
      </c>
      <c r="K16" s="46">
        <v>1.14E-2</v>
      </c>
      <c r="L16" s="47">
        <v>2E-3</v>
      </c>
      <c r="M16" s="21">
        <v>0.32</v>
      </c>
      <c r="N16" s="21">
        <v>0.1</v>
      </c>
      <c r="O16" s="47">
        <v>7.0000000000000001E-3</v>
      </c>
      <c r="Q16" s="48">
        <f t="shared" ref="Q16:U17" si="8">K16</f>
        <v>1.14E-2</v>
      </c>
      <c r="R16" s="14">
        <f t="shared" si="8"/>
        <v>2E-3</v>
      </c>
      <c r="S16" s="38">
        <f t="shared" si="8"/>
        <v>0.32</v>
      </c>
      <c r="T16" s="38">
        <f t="shared" si="8"/>
        <v>0.1</v>
      </c>
      <c r="U16" s="14">
        <f t="shared" si="8"/>
        <v>7.0000000000000001E-3</v>
      </c>
    </row>
    <row r="17" spans="1:21" x14ac:dyDescent="0.2">
      <c r="B17" s="2" t="s">
        <v>2</v>
      </c>
      <c r="C17" s="15">
        <v>10.209274228610999</v>
      </c>
      <c r="D17" s="15">
        <v>0.26369376991569998</v>
      </c>
      <c r="E17" s="15">
        <v>107.3977930033</v>
      </c>
      <c r="F17" s="15">
        <v>175.56565961620001</v>
      </c>
      <c r="G17" s="15">
        <v>0.23097670514640001</v>
      </c>
      <c r="I17" s="8"/>
      <c r="J17" s="8" t="s">
        <v>97</v>
      </c>
      <c r="K17" s="47">
        <v>8.0000000000000002E-3</v>
      </c>
      <c r="L17" s="46">
        <v>1E-4</v>
      </c>
      <c r="M17" s="21">
        <v>7.0000000000000007E-2</v>
      </c>
      <c r="N17" s="21">
        <v>0.06</v>
      </c>
      <c r="O17" s="46">
        <v>1E-4</v>
      </c>
      <c r="Q17" s="14">
        <f t="shared" si="8"/>
        <v>8.0000000000000002E-3</v>
      </c>
      <c r="R17" s="48">
        <f t="shared" si="8"/>
        <v>1E-4</v>
      </c>
      <c r="S17" s="38">
        <f t="shared" si="8"/>
        <v>7.0000000000000007E-2</v>
      </c>
      <c r="T17" s="38">
        <f t="shared" si="8"/>
        <v>0.06</v>
      </c>
      <c r="U17" s="48">
        <f t="shared" si="8"/>
        <v>1E-4</v>
      </c>
    </row>
    <row r="18" spans="1:21" x14ac:dyDescent="0.2">
      <c r="B18" s="2" t="s">
        <v>10</v>
      </c>
      <c r="C18" s="15">
        <v>179.183695</v>
      </c>
      <c r="D18" s="15">
        <v>19.290668</v>
      </c>
      <c r="E18" s="15">
        <v>41.834150999999999</v>
      </c>
      <c r="F18" s="15">
        <v>462.93631099999999</v>
      </c>
      <c r="G18" s="15">
        <v>32.204216000000002</v>
      </c>
      <c r="I18" s="18"/>
      <c r="J18" s="18" t="s">
        <v>10</v>
      </c>
      <c r="K18" s="40">
        <f t="shared" si="2"/>
        <v>0.49091423287671232</v>
      </c>
      <c r="L18" s="40">
        <f t="shared" si="3"/>
        <v>5.2851145205479455E-2</v>
      </c>
      <c r="M18" s="40">
        <f t="shared" si="4"/>
        <v>0.11461411232876711</v>
      </c>
      <c r="N18" s="40">
        <f t="shared" si="5"/>
        <v>1.2683186602739727</v>
      </c>
      <c r="O18" s="40">
        <f t="shared" si="6"/>
        <v>8.823072876712329E-2</v>
      </c>
      <c r="Q18" s="38">
        <f t="shared" si="7"/>
        <v>7.3637134931506851E-2</v>
      </c>
      <c r="R18" s="38">
        <f t="shared" si="7"/>
        <v>7.9276717808219183E-3</v>
      </c>
      <c r="S18" s="38">
        <f t="shared" si="7"/>
        <v>1.7192116849315067E-2</v>
      </c>
      <c r="T18" s="38">
        <f t="shared" si="7"/>
        <v>0.1902477990410959</v>
      </c>
      <c r="U18" s="38">
        <f t="shared" si="7"/>
        <v>1.3234609315068493E-2</v>
      </c>
    </row>
    <row r="19" spans="1:21" x14ac:dyDescent="0.2">
      <c r="I19" s="2" t="s">
        <v>24</v>
      </c>
      <c r="J19" s="2" t="s">
        <v>1</v>
      </c>
      <c r="K19" s="15">
        <f t="shared" ref="K19:O23" si="9">K4+K9+Q14</f>
        <v>8.9665246473797797</v>
      </c>
      <c r="L19" s="15">
        <f t="shared" si="9"/>
        <v>52.876632520857996</v>
      </c>
      <c r="M19" s="15">
        <f t="shared" si="9"/>
        <v>73.067039395515621</v>
      </c>
      <c r="N19" s="15">
        <f t="shared" si="9"/>
        <v>9.3821146220320539</v>
      </c>
      <c r="O19" s="15">
        <f t="shared" si="9"/>
        <v>0.33257005378630139</v>
      </c>
    </row>
    <row r="20" spans="1:21" x14ac:dyDescent="0.2">
      <c r="A20" s="1" t="s">
        <v>20</v>
      </c>
      <c r="J20" s="2" t="s">
        <v>14</v>
      </c>
      <c r="K20" s="15">
        <f t="shared" si="9"/>
        <v>13.953846363857034</v>
      </c>
      <c r="L20" s="15">
        <f t="shared" si="9"/>
        <v>0.45645652910712753</v>
      </c>
      <c r="M20" s="15">
        <f t="shared" si="9"/>
        <v>10.007955302340747</v>
      </c>
      <c r="N20" s="15">
        <f t="shared" si="9"/>
        <v>171.23926099996632</v>
      </c>
      <c r="O20" s="15">
        <f t="shared" si="9"/>
        <v>1.7130111772714931</v>
      </c>
    </row>
    <row r="21" spans="1:21" x14ac:dyDescent="0.2">
      <c r="A21" s="2" t="s">
        <v>21</v>
      </c>
      <c r="B21" s="2" t="s">
        <v>81</v>
      </c>
      <c r="J21" s="2" t="s">
        <v>15</v>
      </c>
      <c r="K21" s="15">
        <f t="shared" si="9"/>
        <v>0.8014</v>
      </c>
      <c r="L21" s="15">
        <f t="shared" si="9"/>
        <v>0.27200000000000002</v>
      </c>
      <c r="M21" s="15">
        <f t="shared" si="9"/>
        <v>27.959999999999997</v>
      </c>
      <c r="N21" s="15">
        <f t="shared" si="9"/>
        <v>12.909999999999998</v>
      </c>
      <c r="O21" s="15">
        <f t="shared" si="9"/>
        <v>0.94699999999999995</v>
      </c>
    </row>
    <row r="22" spans="1:21" x14ac:dyDescent="0.2">
      <c r="A22" s="2" t="s">
        <v>14</v>
      </c>
      <c r="B22" s="2" t="s">
        <v>22</v>
      </c>
      <c r="J22" s="2" t="s">
        <v>2</v>
      </c>
      <c r="K22" s="15">
        <f t="shared" si="9"/>
        <v>1.0680000000000001</v>
      </c>
      <c r="L22" s="38">
        <f t="shared" si="9"/>
        <v>1.5099999999999999E-2</v>
      </c>
      <c r="M22" s="15">
        <f t="shared" si="9"/>
        <v>9.4400000000000013</v>
      </c>
      <c r="N22" s="15">
        <f t="shared" si="9"/>
        <v>7.75</v>
      </c>
      <c r="O22" s="38">
        <f t="shared" si="9"/>
        <v>1.8100000000000002E-2</v>
      </c>
    </row>
    <row r="23" spans="1:21" x14ac:dyDescent="0.2">
      <c r="A23" s="2" t="s">
        <v>15</v>
      </c>
      <c r="B23" s="2" t="s">
        <v>99</v>
      </c>
      <c r="J23" s="2" t="s">
        <v>10</v>
      </c>
      <c r="K23" s="15">
        <f t="shared" si="9"/>
        <v>1.1216101102739726</v>
      </c>
      <c r="L23" s="15">
        <f t="shared" si="9"/>
        <v>0.12053806904109589</v>
      </c>
      <c r="M23" s="15">
        <f t="shared" si="9"/>
        <v>0.26108253328767123</v>
      </c>
      <c r="N23" s="15">
        <f t="shared" si="9"/>
        <v>2.8993594538356167</v>
      </c>
      <c r="O23" s="15">
        <f t="shared" si="9"/>
        <v>0.20169309424657533</v>
      </c>
    </row>
    <row r="24" spans="1:21" x14ac:dyDescent="0.2">
      <c r="A24" s="2" t="s">
        <v>2</v>
      </c>
      <c r="B24" s="2" t="s">
        <v>100</v>
      </c>
      <c r="I24" s="8"/>
      <c r="J24" s="8"/>
      <c r="K24" s="25"/>
      <c r="L24" s="25"/>
      <c r="M24" s="25"/>
      <c r="N24" s="25"/>
      <c r="O24" s="25"/>
      <c r="Q24" s="15"/>
      <c r="R24" s="15"/>
      <c r="S24" s="15"/>
      <c r="T24" s="15"/>
      <c r="U24" s="15"/>
    </row>
    <row r="25" spans="1:21" x14ac:dyDescent="0.2">
      <c r="A25" s="2" t="s">
        <v>10</v>
      </c>
      <c r="B25" s="2" t="s">
        <v>80</v>
      </c>
      <c r="I25" s="8" t="s">
        <v>98</v>
      </c>
      <c r="J25" s="8"/>
      <c r="K25" s="8"/>
      <c r="L25" s="8"/>
      <c r="M25" s="8"/>
      <c r="N25" s="8"/>
      <c r="O25" s="8"/>
    </row>
    <row r="27" spans="1:21" ht="16.5" x14ac:dyDescent="0.2">
      <c r="B27" s="1" t="s">
        <v>87</v>
      </c>
      <c r="C27" s="1" t="s">
        <v>5</v>
      </c>
      <c r="D27" s="36" t="s">
        <v>6</v>
      </c>
      <c r="E27" s="36" t="s">
        <v>7</v>
      </c>
      <c r="F27" s="36" t="s">
        <v>8</v>
      </c>
      <c r="G27" s="36" t="s">
        <v>9</v>
      </c>
    </row>
    <row r="28" spans="1:21" x14ac:dyDescent="0.2">
      <c r="B28" s="13" t="s">
        <v>11</v>
      </c>
      <c r="C28" s="38">
        <v>96.782608999999994</v>
      </c>
      <c r="D28" s="38">
        <v>1296.1300000000001</v>
      </c>
      <c r="E28" s="38">
        <v>4111.28</v>
      </c>
      <c r="F28" s="38">
        <v>72.69</v>
      </c>
      <c r="G28" s="38">
        <v>1.35</v>
      </c>
    </row>
    <row r="29" spans="1:21" x14ac:dyDescent="0.2">
      <c r="B29" s="13" t="s">
        <v>23</v>
      </c>
      <c r="C29" s="38">
        <v>0.265150685</v>
      </c>
      <c r="D29" s="38">
        <v>3.5510410960000001</v>
      </c>
      <c r="E29" s="38">
        <v>11.263780819999999</v>
      </c>
      <c r="F29" s="38">
        <v>0.19915068499999999</v>
      </c>
      <c r="G29" s="38">
        <v>3.6986300000000001E-3</v>
      </c>
      <c r="Q29" s="15"/>
    </row>
    <row r="30" spans="1:21" x14ac:dyDescent="0.2">
      <c r="B30" s="2" t="s">
        <v>84</v>
      </c>
      <c r="K30" s="15"/>
      <c r="L30" s="15"/>
      <c r="M30" s="15"/>
      <c r="N30" s="15"/>
      <c r="O30" s="15"/>
    </row>
    <row r="31" spans="1:21" x14ac:dyDescent="0.2">
      <c r="K31" s="15"/>
      <c r="L31" s="15"/>
      <c r="M31" s="15"/>
      <c r="N31" s="15"/>
      <c r="O31" s="15"/>
    </row>
  </sheetData>
  <pageMargins left="0.7" right="0.7" top="0.75" bottom="0.75" header="0.3" footer="0.3"/>
  <pageSetup paperSize="5" scale="57" orientation="landscape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3B8636878087438381590F495055B7" ma:contentTypeVersion="18" ma:contentTypeDescription="Create a new document." ma:contentTypeScope="" ma:versionID="6576ace7a7a550efb0d32edf5887aff4">
  <xsd:schema xmlns:xsd="http://www.w3.org/2001/XMLSchema" xmlns:xs="http://www.w3.org/2001/XMLSchema" xmlns:p="http://schemas.microsoft.com/office/2006/metadata/properties" xmlns:ns1="http://schemas.microsoft.com/sharepoint/v3" xmlns:ns3="4ffa91fb-a0ff-4ac5-b2db-65c790d184a4" xmlns:ns4="http://schemas.microsoft.com/sharepoint.v3" xmlns:ns5="http://schemas.microsoft.com/sharepoint/v3/fields" xmlns:ns6="b3953588-ab21-482e-b011-4f432eeadb42" xmlns:ns7="7e340d8d-d075-47ef-bbc7-c1ec7ac347fd" targetNamespace="http://schemas.microsoft.com/office/2006/metadata/properties" ma:root="true" ma:fieldsID="fed1c4739ee93761ae4a9002cd310cff" ns1:_="" ns3:_="" ns4:_="" ns5:_="" ns6:_="" ns7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b3953588-ab21-482e-b011-4f432eeadb42"/>
    <xsd:import namespace="7e340d8d-d075-47ef-bbc7-c1ec7ac347fd"/>
    <xsd:element name="properties">
      <xsd:complexType>
        <xsd:sequence>
          <xsd:element name="documentManagement">
            <xsd:complexType>
              <xsd:all>
                <xsd:element ref="ns3:Document_x0020_Creation_x0020_Date" minOccurs="0"/>
                <xsd:element ref="ns3:Creator" minOccurs="0"/>
                <xsd:element ref="ns3:EPA_x0020_Office" minOccurs="0"/>
                <xsd:element ref="ns3:Record" minOccurs="0"/>
                <xsd:element ref="ns4:CategoryDescription" minOccurs="0"/>
                <xsd:element ref="ns3:Identifier" minOccurs="0"/>
                <xsd:element ref="ns3:EPA_x0020_Contributor" minOccurs="0"/>
                <xsd:element ref="ns3:External_x0020_Contributor" minOccurs="0"/>
                <xsd:element ref="ns5:_Coverage" minOccurs="0"/>
                <xsd:element ref="ns3:EPA_x0020_Related_x0020_Documents" minOccurs="0"/>
                <xsd:element ref="ns5:_Source" minOccurs="0"/>
                <xsd:element ref="ns3:Rights" minOccurs="0"/>
                <xsd:element ref="ns1:Language" minOccurs="0"/>
                <xsd:element ref="ns3:j747ac98061d40f0aa7bd47e1db5675d" minOccurs="0"/>
                <xsd:element ref="ns3:TaxKeywordTaxHTField" minOccurs="0"/>
                <xsd:element ref="ns3:TaxCatchAllLabel" minOccurs="0"/>
                <xsd:element ref="ns3:TaxCatchAll" minOccurs="0"/>
                <xsd:element ref="ns6:SharedWithUsers" minOccurs="0"/>
                <xsd:element ref="ns6:SharedWithDetails" minOccurs="0"/>
                <xsd:element ref="ns6:SharingHintHash" minOccurs="0"/>
                <xsd:element ref="ns7:MediaServiceMetadata" minOccurs="0"/>
                <xsd:element ref="ns7:MediaServiceFastMetadata" minOccurs="0"/>
                <xsd:element ref="ns6:Records_x0020_Status" minOccurs="0"/>
                <xsd:element ref="ns6:Records_x0020_Date" minOccurs="0"/>
                <xsd:element ref="ns7:MediaServiceEventHashCode" minOccurs="0"/>
                <xsd:element ref="ns7:MediaServiceGenerationTime" minOccurs="0"/>
                <xsd:element ref="ns7:MediaServiceAutoKeyPoints" minOccurs="0"/>
                <xsd:element ref="ns7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ffc720f5-8c4a-4018-bba1-a4340ce66c0e}" ma:internalName="TaxCatchAllLabel" ma:readOnly="true" ma:showField="CatchAllDataLabel" ma:web="b3953588-ab21-482e-b011-4f432eeadb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ffc720f5-8c4a-4018-bba1-a4340ce66c0e}" ma:internalName="TaxCatchAll" ma:showField="CatchAllData" ma:web="b3953588-ab21-482e-b011-4f432eeadb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953588-ab21-482e-b011-4f432eeadb42" elementFormDefault="qualified">
    <xsd:import namespace="http://schemas.microsoft.com/office/2006/documentManagement/types"/>
    <xsd:import namespace="http://schemas.microsoft.com/office/infopath/2007/PartnerControls"/>
    <xsd:element name="SharedWithUsers" ma:index="2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30" nillable="true" ma:displayName="Sharing Hint Hash" ma:description="" ma:hidden="true" ma:internalName="SharingHintHash" ma:readOnly="true">
      <xsd:simpleType>
        <xsd:restriction base="dms:Text"/>
      </xsd:simpleType>
    </xsd:element>
    <xsd:element name="Records_x0020_Status" ma:index="33" nillable="true" ma:displayName="Records Status" ma:default="Pending" ma:internalName="Records_x0020_Status">
      <xsd:simpleType>
        <xsd:restriction base="dms:Text"/>
      </xsd:simpleType>
    </xsd:element>
    <xsd:element name="Records_x0020_Date" ma:index="34" nillable="true" ma:displayName="Records Date" ma:hidden="true" ma:internalName="Records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340d8d-d075-47ef-bbc7-c1ec7ac34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3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Records_x0020_Date xmlns="b3953588-ab21-482e-b011-4f432eeadb42" xsi:nil="true"/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2019-09-17T17:47:22+00:00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Records_x0020_Status xmlns="b3953588-ab21-482e-b011-4f432eeadb42">Pending</Records_x0020_Status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Props1.xml><?xml version="1.0" encoding="utf-8"?>
<ds:datastoreItem xmlns:ds="http://schemas.openxmlformats.org/officeDocument/2006/customXml" ds:itemID="{B1E5C16E-FCEE-4965-BF19-3582862343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E90747-8BAA-48F4-9096-150398A2C82B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43205A23-8DA5-4E4F-B667-61A06BEE61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b3953588-ab21-482e-b011-4f432eeadb42"/>
    <ds:schemaRef ds:uri="7e340d8d-d075-47ef-bbc7-c1ec7ac347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1133E96-99F5-4893-AEBC-111BBFE25F8E}">
  <ds:schemaRefs>
    <ds:schemaRef ds:uri="http://purl.org/dc/elements/1.1/"/>
    <ds:schemaRef ds:uri="http://schemas.microsoft.com/sharepoint/v3"/>
    <ds:schemaRef ds:uri="4ffa91fb-a0ff-4ac5-b2db-65c790d184a4"/>
    <ds:schemaRef ds:uri="http://schemas.microsoft.com/sharepoint/v3/field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7e340d8d-d075-47ef-bbc7-c1ec7ac347fd"/>
    <ds:schemaRef ds:uri="b3953588-ab21-482e-b011-4f432eeadb42"/>
    <ds:schemaRef ds:uri="http://schemas.microsoft.com/office/2006/metadata/properties"/>
    <ds:schemaRef ds:uri="http://schemas.microsoft.com/sharepoint.v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Critical Design Value</vt:lpstr>
      <vt:lpstr>Mobile Analysis</vt:lpstr>
      <vt:lpstr>2017NEIV2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Akers, Brad</dc:creator>
  <cp:lastModifiedBy>Windows User</cp:lastModifiedBy>
  <cp:lastPrinted>2020-12-03T17:11:35Z</cp:lastPrinted>
  <dcterms:created xsi:type="dcterms:W3CDTF">2019-09-17T17:42:40Z</dcterms:created>
  <dcterms:modified xsi:type="dcterms:W3CDTF">2020-12-03T19:36:10Z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0x0101006F3B8636878087438381590F495055B7</vt:lpwstr>
  </property>
  <property fmtid="{D5CDD505-2E9C-101B-9397-08002B2CF9AE}" pid="3" name="WorkbookGuid">
    <vt:lpwstr>f09ca21c-74ae-416f-ace6-719cc7152517</vt:lpwstr>
  </property>
</Properties>
</file>